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0" yWindow="65500" windowWidth="9720" windowHeight="7320" activeTab="2"/>
  </bookViews>
  <sheets>
    <sheet name="Error Equations" sheetId="1" r:id="rId1"/>
    <sheet name="28Sep00" sheetId="2" r:id="rId2"/>
    <sheet name="Summary" sheetId="3" r:id="rId3"/>
  </sheets>
  <definedNames>
    <definedName name="aa" localSheetId="1">'28Sep00'!$U$15</definedName>
    <definedName name="aa" localSheetId="0">'Error Equations'!$R$7</definedName>
    <definedName name="aa" localSheetId="2">'Summary'!$U$1</definedName>
    <definedName name="aa">#REF!</definedName>
    <definedName name="bb" localSheetId="1">'28Sep00'!$U$2</definedName>
    <definedName name="bb" localSheetId="0">'Error Equations'!$R$2</definedName>
    <definedName name="bb" localSheetId="2">'Summary'!#REF!</definedName>
    <definedName name="bb">#REF!</definedName>
    <definedName name="HTML_CodePage" hidden="1">1252</definedName>
    <definedName name="HTML_Control" localSheetId="2" hidden="1">{"'14JAN98'!$A$11:$N$43"}</definedName>
    <definedName name="HTML_Control" hidden="1">{"'14JAN98'!$A$11:$N$43"}</definedName>
    <definedName name="HTML_Description" hidden="1">#VALUE!</definedName>
    <definedName name="HTML_Email" hidden="1">"Brian.R.Dennis.1@gsfc.nasa.gov"</definedName>
    <definedName name="HTML_Header" hidden="1">""</definedName>
    <definedName name="HTML_LastUpdate" hidden="1">"1/15/98"</definedName>
    <definedName name="HTML_LineAfter" hidden="1">TRUE</definedName>
    <definedName name="HTML_LineBefore" hidden="1">TRUE</definedName>
    <definedName name="HTML_Name" hidden="1">"Brian R. Dennis"</definedName>
    <definedName name="HTML_OBDlg2" hidden="1">TRUE</definedName>
    <definedName name="HTML_OBDlg4" hidden="1">TRUE</definedName>
    <definedName name="HTML_OS" hidden="1">0</definedName>
    <definedName name="HTML_PathFile" hidden="1">"C:\My Documents\MS Excel\HESSI-SMEX\Error Budget\Grid Specifications.htm"</definedName>
    <definedName name="HTML_Title" hidden="1">"HESSI Grid Specifications"</definedName>
    <definedName name="L" localSheetId="1">'28Sep00'!$B$18</definedName>
    <definedName name="L" localSheetId="2">'Summary'!$B$5</definedName>
    <definedName name="L">'Error Equations'!$C$11</definedName>
    <definedName name="Log_large" localSheetId="1">'28Sep00'!$T$15</definedName>
    <definedName name="Log_large" localSheetId="0">'Error Equations'!$Q$7</definedName>
    <definedName name="Log_large" localSheetId="2">'Summary'!$T$1</definedName>
    <definedName name="Log_large">#REF!</definedName>
    <definedName name="log_small" localSheetId="1">'28Sep00'!$T$2</definedName>
    <definedName name="log_small" localSheetId="0">'Error Equations'!$Q$2</definedName>
    <definedName name="log_small" localSheetId="2">'Summary'!#REF!</definedName>
    <definedName name="log_small">#REF!</definedName>
    <definedName name="_xlnm.Print_Area" localSheetId="0">'Error Equations'!$A$1:$M$38</definedName>
    <definedName name="small" localSheetId="1">'28Sep00'!$S$2</definedName>
    <definedName name="small" localSheetId="0">'Error Equations'!$P$2</definedName>
    <definedName name="small" localSheetId="2">'Summary'!#REF!</definedName>
    <definedName name="small">#REF!</definedName>
    <definedName name="Tube_Dia" localSheetId="1">'28Sep00'!$B$19</definedName>
    <definedName name="Tube_Dia" localSheetId="0">'Error Equations'!$C$12</definedName>
    <definedName name="Tube_Dia" localSheetId="2">'Summary'!$B$6</definedName>
    <definedName name="Tube_Dia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42" authorId="0">
      <text>
        <r>
          <rPr>
            <sz val="8"/>
            <rFont val="Tahoma"/>
            <family val="0"/>
          </rPr>
          <t>Grid imperfections due to manufacturing are measured using the GCF.  Thermal effects may cause additional errors.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Gordon Hurford</author>
  </authors>
  <commentList>
    <comment ref="A48" authorId="0">
      <text>
        <r>
          <rPr>
            <sz val="8"/>
            <rFont val="Tahoma"/>
            <family val="0"/>
          </rPr>
          <t>Grid imperfections due to manufacturing are measured using the GCF.  Thermal effects may cause additional errors.</t>
        </r>
      </text>
    </comment>
    <comment ref="A39" authorId="1">
      <text>
        <r>
          <rPr>
            <b/>
            <sz val="8"/>
            <rFont val="Tahoma"/>
            <family val="0"/>
          </rPr>
          <t>Gordon Hurford:</t>
        </r>
        <r>
          <rPr>
            <sz val="8"/>
            <rFont val="Tahoma"/>
            <family val="0"/>
          </rPr>
          <t xml:space="preserve">
excludes stiffening rings</t>
        </r>
      </text>
    </comment>
  </commentList>
</comments>
</file>

<file path=xl/comments3.xml><?xml version="1.0" encoding="utf-8"?>
<comments xmlns="http://schemas.openxmlformats.org/spreadsheetml/2006/main">
  <authors>
    <author>Gordon Hurford</author>
  </authors>
  <commentList>
    <comment ref="A25" authorId="0">
      <text>
        <r>
          <rPr>
            <b/>
            <sz val="8"/>
            <rFont val="Tahoma"/>
            <family val="0"/>
          </rPr>
          <t>Gordon Hurford:</t>
        </r>
        <r>
          <rPr>
            <sz val="8"/>
            <rFont val="Tahoma"/>
            <family val="0"/>
          </rPr>
          <t xml:space="preserve">
excludes stiffening rings</t>
        </r>
      </text>
    </comment>
  </commentList>
</comments>
</file>

<file path=xl/sharedStrings.xml><?xml version="1.0" encoding="utf-8"?>
<sst xmlns="http://schemas.openxmlformats.org/spreadsheetml/2006/main" count="323" uniqueCount="137">
  <si>
    <t xml:space="preserve">Original: </t>
  </si>
  <si>
    <t>Hongwoo Park/721</t>
  </si>
  <si>
    <t>March, 1995</t>
  </si>
  <si>
    <t xml:space="preserve">Revised: </t>
  </si>
  <si>
    <t>Brian Dennis/682</t>
  </si>
  <si>
    <t>March, 1996</t>
  </si>
  <si>
    <t>Revised for SMEX:</t>
  </si>
  <si>
    <t>29 August, 1997</t>
  </si>
  <si>
    <t>HESSI Error Budget</t>
  </si>
  <si>
    <t>This spreadsheet should be read in conjunction with the Word document on the same subject.</t>
  </si>
  <si>
    <t>All linear dimensions in mm.</t>
  </si>
  <si>
    <t>Collimator Length, L</t>
  </si>
  <si>
    <t>Detector Diameter, D</t>
  </si>
  <si>
    <t>Collimator #</t>
  </si>
  <si>
    <t>Nominal FWHM Resolution (")</t>
  </si>
  <si>
    <t>Angular Pitch (")</t>
  </si>
  <si>
    <t>Pitch (mm)</t>
  </si>
  <si>
    <t>Resolution Pitch (mm)</t>
  </si>
  <si>
    <t>Slit (mm)</t>
  </si>
  <si>
    <t>Slat (mm)</t>
  </si>
  <si>
    <t>Maximum fractional transmission</t>
  </si>
  <si>
    <t>Thickness (mm)</t>
  </si>
  <si>
    <t>Field of View  (°)</t>
  </si>
  <si>
    <t>Diameter (mm)</t>
  </si>
  <si>
    <t>Equivalent Arc Seconds FWHM</t>
  </si>
  <si>
    <t>#</t>
  </si>
  <si>
    <t>Resolution (FWHM)</t>
  </si>
  <si>
    <t>Pitch</t>
  </si>
  <si>
    <t>Slit Width</t>
  </si>
  <si>
    <t>Depth</t>
  </si>
  <si>
    <t>FOV</t>
  </si>
  <si>
    <t>(arcsec)</t>
  </si>
  <si>
    <t>(mm)</t>
  </si>
  <si>
    <t>(deg.)</t>
  </si>
  <si>
    <t>Grid Imperfection (mm)</t>
  </si>
  <si>
    <t xml:space="preserve">     Front Grid (arcsec FWHM)</t>
  </si>
  <si>
    <t xml:space="preserve">     Aft Grid (arcsec FWHM)</t>
  </si>
  <si>
    <t>Grid Matching {(1+m):1}</t>
  </si>
  <si>
    <t xml:space="preserve">     Grid Match (arcsec FWHM)</t>
  </si>
  <si>
    <t>Relative Twist (arcmin)</t>
  </si>
  <si>
    <t xml:space="preserve">     Twist (arcsec FWHM)</t>
  </si>
  <si>
    <t>Relative Aspect Solution (arcsec)</t>
  </si>
  <si>
    <t xml:space="preserve">     Aspect (arcsec FWHM)</t>
  </si>
  <si>
    <t>Quadrature Sum</t>
  </si>
  <si>
    <t xml:space="preserve"> ( = FWHM Smeared Diameter in arcsec )</t>
  </si>
  <si>
    <t>Smearing Factor (Fs)</t>
  </si>
  <si>
    <t>Effect on Maximum Transmission</t>
  </si>
  <si>
    <t>Camber (mm)</t>
  </si>
  <si>
    <t xml:space="preserve">     Camber Effect</t>
  </si>
  <si>
    <t>Venetian Blinding (mm)</t>
  </si>
  <si>
    <t xml:space="preserve">     Venetian Effect</t>
  </si>
  <si>
    <t>Slit Width (mm)</t>
  </si>
  <si>
    <t xml:space="preserve">     Slit Width Effect</t>
  </si>
  <si>
    <t>Tilt (arcmin)</t>
  </si>
  <si>
    <t xml:space="preserve">     Tilt Effect</t>
  </si>
  <si>
    <t>Source Location (arcmin)</t>
  </si>
  <si>
    <t xml:space="preserve">     Source Location Effect</t>
  </si>
  <si>
    <t>Pointing Error (arcmin)</t>
  </si>
  <si>
    <t xml:space="preserve">     Pointing Error Effect</t>
  </si>
  <si>
    <t>RMS Change in Transmission</t>
  </si>
  <si>
    <t>Nominal Transmission</t>
  </si>
  <si>
    <t>Resulting Transmission</t>
  </si>
  <si>
    <t>Waveform Factor  (Fw)</t>
  </si>
  <si>
    <t>Worst Case Maximum Transmission</t>
  </si>
  <si>
    <t>Tilt (')</t>
  </si>
  <si>
    <t>Source Location (')</t>
  </si>
  <si>
    <t xml:space="preserve">     Source Effect</t>
  </si>
  <si>
    <t>Pointing Error</t>
  </si>
  <si>
    <t xml:space="preserve">     Pointing Effect</t>
  </si>
  <si>
    <t>MODULATION EFFICIENCY</t>
  </si>
  <si>
    <t>Changes from Error Budget F</t>
  </si>
  <si>
    <t>F.1</t>
  </si>
  <si>
    <t>Slit/pitch = 60%</t>
  </si>
  <si>
    <t>2nd Diameter changed to 71mm</t>
  </si>
  <si>
    <t>F.2</t>
  </si>
  <si>
    <t>used GH memo of 16May94 as the baseline for the finest grids</t>
  </si>
  <si>
    <t>extended ptg error of 4 min across all grids</t>
  </si>
  <si>
    <t>extended tilt of 6 min across 1st 10 grid pairs</t>
  </si>
  <si>
    <t>Gordon Hurford</t>
  </si>
  <si>
    <t>5 November, 1997</t>
  </si>
  <si>
    <t>Material</t>
  </si>
  <si>
    <t>Shape</t>
  </si>
  <si>
    <t>Gold</t>
  </si>
  <si>
    <t>Tungsten</t>
  </si>
  <si>
    <t>Round</t>
  </si>
  <si>
    <t>Square</t>
  </si>
  <si>
    <t>Rim width (mm)</t>
  </si>
  <si>
    <r>
      <t>Density (g mm</t>
    </r>
    <r>
      <rPr>
        <vertAlign val="superscript"/>
        <sz val="10"/>
        <rFont val="Geneva"/>
        <family val="0"/>
      </rPr>
      <t>-3</t>
    </r>
    <r>
      <rPr>
        <sz val="10"/>
        <rFont val="Geneva"/>
        <family val="0"/>
      </rPr>
      <t>)</t>
    </r>
  </si>
  <si>
    <t>Alternate thickness (mm)</t>
  </si>
  <si>
    <t>Alternate FOV  (°)</t>
  </si>
  <si>
    <t>11 November, 1997</t>
  </si>
  <si>
    <t>Alt. Max. Transmission</t>
  </si>
  <si>
    <t>Alternate slit width (mm)</t>
  </si>
  <si>
    <t>Total Mass (g)</t>
  </si>
  <si>
    <t>Masses added:</t>
  </si>
  <si>
    <t>Alternate Square Masses (g)</t>
  </si>
  <si>
    <t>Alternate Round Masses (g)</t>
  </si>
  <si>
    <t>Round Mass (g)</t>
  </si>
  <si>
    <t>Square Mass (g)</t>
  </si>
  <si>
    <t>Total Baseline Mass</t>
  </si>
  <si>
    <t>Revised</t>
  </si>
  <si>
    <t>Dennis/Hurford</t>
  </si>
  <si>
    <t>13 November, 1997</t>
  </si>
  <si>
    <t>Rim Material</t>
  </si>
  <si>
    <t>Hurford</t>
  </si>
  <si>
    <t>Major revision</t>
  </si>
  <si>
    <t>VBC</t>
  </si>
  <si>
    <t>Tecomet</t>
  </si>
  <si>
    <t>Rel.Mod.Eff. (grids)</t>
  </si>
  <si>
    <t>Rel.Mod.Eff. (aspect)</t>
  </si>
  <si>
    <t>RMS Rel.Aspect Error(arcsec)</t>
  </si>
  <si>
    <t>Rel.Mod.Eff. (matching)</t>
  </si>
  <si>
    <t>Rel.Mod.Eff. (twist)</t>
  </si>
  <si>
    <t>FWHM Resolution (")</t>
  </si>
  <si>
    <t>Updated</t>
  </si>
  <si>
    <r>
      <t>Rim Density (g mm</t>
    </r>
    <r>
      <rPr>
        <vertAlign val="superscript"/>
        <sz val="10"/>
        <rFont val="Geneva"/>
        <family val="0"/>
      </rPr>
      <t>-3</t>
    </r>
    <r>
      <rPr>
        <sz val="10"/>
        <rFont val="Geneva"/>
        <family val="0"/>
      </rPr>
      <t>)</t>
    </r>
  </si>
  <si>
    <t>Outer Diameter (mm)</t>
  </si>
  <si>
    <t>High-Z Absorber</t>
  </si>
  <si>
    <r>
      <t>High-Z Absorber Density (g mm</t>
    </r>
    <r>
      <rPr>
        <vertAlign val="superscript"/>
        <sz val="10"/>
        <rFont val="Geneva"/>
        <family val="0"/>
      </rPr>
      <t>-3</t>
    </r>
    <r>
      <rPr>
        <sz val="10"/>
        <rFont val="Geneva"/>
        <family val="0"/>
      </rPr>
      <t>)</t>
    </r>
  </si>
  <si>
    <t>Total collimator thickness (mm)</t>
  </si>
  <si>
    <t>Edited</t>
  </si>
  <si>
    <t>High-Z Absorber layer thickness (mm)</t>
  </si>
  <si>
    <t>Dennis</t>
  </si>
  <si>
    <t>Aluminum</t>
  </si>
  <si>
    <t>Rim height</t>
  </si>
  <si>
    <t>Molybdenum</t>
  </si>
  <si>
    <t>Source</t>
  </si>
  <si>
    <t>HESSI Nominal Grid Specifications</t>
  </si>
  <si>
    <t>Actual Layer Count</t>
  </si>
  <si>
    <t>Nominal Mass (g)</t>
  </si>
  <si>
    <t>Total Nominal Mass (g)</t>
  </si>
  <si>
    <r>
      <t>Rim Density (g mm</t>
    </r>
    <r>
      <rPr>
        <vertAlign val="superscript"/>
        <sz val="10"/>
        <rFont val="Geneva"/>
        <family val="0"/>
      </rPr>
      <t>-3</t>
    </r>
    <r>
      <rPr>
        <sz val="10"/>
        <rFont val="Geneva"/>
        <family val="0"/>
      </rPr>
      <t>)</t>
    </r>
  </si>
  <si>
    <t xml:space="preserve">Slit </t>
  </si>
  <si>
    <t>Slat</t>
  </si>
  <si>
    <t>Total collimator thickness</t>
  </si>
  <si>
    <t xml:space="preserve">Active Diameter </t>
  </si>
  <si>
    <t>Outer Diameter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</si>
</sst>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%"/>
    <numFmt numFmtId="167" formatCode="0.0"/>
    <numFmt numFmtId="168" formatCode="0.000000"/>
    <numFmt numFmtId="169" formatCode="0.00000"/>
    <numFmt numFmtId="170" formatCode="0.0000000"/>
    <numFmt numFmtId="171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6"/>
      <name val="Geneva"/>
      <family val="0"/>
    </font>
    <font>
      <sz val="8"/>
      <name val="Tahoma"/>
      <family val="0"/>
    </font>
    <font>
      <vertAlign val="superscript"/>
      <sz val="10"/>
      <name val="Geneva"/>
      <family val="0"/>
    </font>
    <font>
      <b/>
      <sz val="8"/>
      <name val="Tahoma"/>
      <family val="0"/>
    </font>
    <font>
      <b/>
      <sz val="20"/>
      <name val="Geneva"/>
      <family val="0"/>
    </font>
    <font>
      <sz val="20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 horizontal="lef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showFormulas="1" workbookViewId="0" topLeftCell="A19">
      <selection activeCell="A1" sqref="A1:J1"/>
    </sheetView>
  </sheetViews>
  <sheetFormatPr defaultColWidth="9.00390625" defaultRowHeight="13.5" customHeight="1"/>
  <cols>
    <col min="1" max="1" width="28.50390625" style="0" customWidth="1"/>
    <col min="2" max="2" width="0.12890625" style="0" hidden="1" customWidth="1"/>
    <col min="3" max="3" width="13.375" style="17" customWidth="1"/>
    <col min="4" max="4" width="22.125" style="0" bestFit="1" customWidth="1"/>
    <col min="5" max="5" width="29.50390625" style="0" bestFit="1" customWidth="1"/>
    <col min="6" max="6" width="29.125" style="0" bestFit="1" customWidth="1"/>
    <col min="7" max="7" width="30.125" style="0" bestFit="1" customWidth="1"/>
    <col min="8" max="8" width="29.50390625" style="0" customWidth="1"/>
    <col min="9" max="9" width="26.50390625" style="0" bestFit="1" customWidth="1"/>
    <col min="10" max="10" width="28.125" style="0" bestFit="1" customWidth="1"/>
    <col min="11" max="11" width="29.50390625" style="0" bestFit="1" customWidth="1"/>
    <col min="12" max="12" width="21.375" style="0" bestFit="1" customWidth="1"/>
    <col min="13" max="14" width="7.625" style="0" customWidth="1"/>
    <col min="16" max="16" width="9.875" style="0" customWidth="1"/>
    <col min="17" max="17" width="14.625" style="0" bestFit="1" customWidth="1"/>
    <col min="18" max="18" width="16.50390625" style="0" bestFit="1" customWidth="1"/>
    <col min="20" max="21" width="7.50390625" style="0" customWidth="1"/>
    <col min="22" max="16384" width="2.50390625" style="0" customWidth="1"/>
  </cols>
  <sheetData>
    <row r="1" spans="1:6" ht="13.5" customHeight="1">
      <c r="A1" t="s">
        <v>0</v>
      </c>
      <c r="C1" s="17" t="s">
        <v>1</v>
      </c>
      <c r="F1" s="12" t="s">
        <v>2</v>
      </c>
    </row>
    <row r="2" spans="1:18" ht="13.5" customHeight="1">
      <c r="A2" t="s">
        <v>3</v>
      </c>
      <c r="C2" s="17" t="s">
        <v>4</v>
      </c>
      <c r="F2" t="s">
        <v>5</v>
      </c>
      <c r="P2">
        <v>0.034</v>
      </c>
      <c r="Q2">
        <f>LOG10(648000*ATAN(P2/L)/PI())</f>
        <v>0.6698127910886564</v>
      </c>
      <c r="R2">
        <f>(Q7-Q2)/11</f>
        <v>0.16157259908991176</v>
      </c>
    </row>
    <row r="3" spans="1:6" ht="13.5" customHeight="1">
      <c r="A3" t="s">
        <v>6</v>
      </c>
      <c r="C3" s="17" t="s">
        <v>4</v>
      </c>
      <c r="F3" t="s">
        <v>7</v>
      </c>
    </row>
    <row r="4" spans="3:6" ht="13.5" customHeight="1">
      <c r="C4" s="17" t="s">
        <v>78</v>
      </c>
      <c r="F4" t="s">
        <v>79</v>
      </c>
    </row>
    <row r="5" spans="1:6" ht="13.5" customHeight="1">
      <c r="A5" t="s">
        <v>94</v>
      </c>
      <c r="C5" s="17" t="s">
        <v>4</v>
      </c>
      <c r="F5" t="s">
        <v>90</v>
      </c>
    </row>
    <row r="6" spans="1:6" ht="13.5" customHeight="1">
      <c r="A6" t="s">
        <v>100</v>
      </c>
      <c r="C6" s="17" t="s">
        <v>101</v>
      </c>
      <c r="F6" t="s">
        <v>102</v>
      </c>
    </row>
    <row r="7" spans="1:18" ht="20.25">
      <c r="A7" s="35" t="s">
        <v>8</v>
      </c>
      <c r="P7">
        <v>2.036</v>
      </c>
      <c r="Q7">
        <f>LOG10(648000*ATAN(P7/L)/PI())</f>
        <v>2.447111381077686</v>
      </c>
      <c r="R7">
        <f>10^(Q2-R2)</f>
        <v>3.2228507364107033</v>
      </c>
    </row>
    <row r="8" ht="13.5" customHeight="1">
      <c r="A8" t="s">
        <v>9</v>
      </c>
    </row>
    <row r="9" spans="1:18" ht="13.5" customHeight="1">
      <c r="A9" s="17" t="s">
        <v>10</v>
      </c>
      <c r="J9" s="9"/>
      <c r="O9">
        <v>1</v>
      </c>
      <c r="P9" s="6">
        <f aca="true" t="shared" si="0" ref="P9:P17">aa*10^(bb*O9)</f>
        <v>4.675335607466824</v>
      </c>
      <c r="Q9" s="6">
        <f aca="true" t="shared" si="1" ref="Q9:Q17">L*TAN(PI()*P9/648000)</f>
        <v>0.03400000000000001</v>
      </c>
      <c r="R9" s="6">
        <f aca="true" t="shared" si="2" ref="R9:R17">L*TAN(PI()*aa*10^(bb*O9)/648000)</f>
        <v>0.03400000000000001</v>
      </c>
    </row>
    <row r="10" spans="5:18" ht="13.5" customHeight="1">
      <c r="E10">
        <v>1</v>
      </c>
      <c r="O10">
        <v>2</v>
      </c>
      <c r="P10" s="6">
        <f t="shared" si="0"/>
        <v>6.782431092912275</v>
      </c>
      <c r="Q10" s="6">
        <f t="shared" si="1"/>
        <v>0.049323230793175285</v>
      </c>
      <c r="R10" s="6">
        <f t="shared" si="2"/>
        <v>0.049323230793175285</v>
      </c>
    </row>
    <row r="11" spans="1:18" s="3" customFormat="1" ht="13.5" customHeight="1">
      <c r="A11" s="3" t="s">
        <v>11</v>
      </c>
      <c r="B11" s="3">
        <v>5200</v>
      </c>
      <c r="C11" s="20">
        <v>1500</v>
      </c>
      <c r="O11">
        <v>3</v>
      </c>
      <c r="P11" s="6">
        <f t="shared" si="0"/>
        <v>9.839159237389488</v>
      </c>
      <c r="Q11" s="6">
        <f t="shared" si="1"/>
        <v>0.07155238518779648</v>
      </c>
      <c r="R11" s="6">
        <f t="shared" si="2"/>
        <v>0.07155238518779648</v>
      </c>
    </row>
    <row r="12" spans="1:18" s="3" customFormat="1" ht="13.5" customHeight="1">
      <c r="A12" s="3" t="s">
        <v>12</v>
      </c>
      <c r="C12" s="20">
        <v>71</v>
      </c>
      <c r="O12">
        <v>4</v>
      </c>
      <c r="P12" s="6">
        <f t="shared" si="0"/>
        <v>14.273503581904952</v>
      </c>
      <c r="Q12" s="6">
        <f t="shared" si="1"/>
        <v>0.10379984737378853</v>
      </c>
      <c r="R12" s="6">
        <f t="shared" si="2"/>
        <v>0.10379984737378851</v>
      </c>
    </row>
    <row r="13" spans="15:18" ht="13.5" customHeight="1">
      <c r="O13">
        <v>5</v>
      </c>
      <c r="P13" s="6">
        <f t="shared" si="0"/>
        <v>20.706332684245453</v>
      </c>
      <c r="Q13" s="6">
        <f t="shared" si="1"/>
        <v>0.15058070106974558</v>
      </c>
      <c r="R13" s="6">
        <f t="shared" si="2"/>
        <v>0.15058070106974558</v>
      </c>
    </row>
    <row r="14" spans="1:18" s="1" customFormat="1" ht="13.5" customHeight="1">
      <c r="A14" s="1" t="s">
        <v>13</v>
      </c>
      <c r="B14" s="1">
        <v>1</v>
      </c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  <c r="J14" s="29">
        <v>8</v>
      </c>
      <c r="K14" s="29">
        <v>9</v>
      </c>
      <c r="L14"/>
      <c r="M14"/>
      <c r="N14"/>
      <c r="O14" s="1">
        <v>6</v>
      </c>
      <c r="P14" s="19">
        <f t="shared" si="0"/>
        <v>30.0383301668272</v>
      </c>
      <c r="Q14" s="19">
        <f t="shared" si="1"/>
        <v>0.2184449028827123</v>
      </c>
      <c r="R14" s="19">
        <f t="shared" si="2"/>
        <v>0.21844490288271223</v>
      </c>
    </row>
    <row r="15" spans="1:18" s="2" customFormat="1" ht="13.5" customHeight="1">
      <c r="A15" s="2" t="s">
        <v>14</v>
      </c>
      <c r="C15" s="31">
        <f aca="true" t="shared" si="3" ref="C15:K15">C16/2</f>
        <v>2.3376678037334115</v>
      </c>
      <c r="D15" s="32">
        <f t="shared" si="3"/>
        <v>4.048959405897376</v>
      </c>
      <c r="E15" s="32">
        <f t="shared" si="3"/>
        <v>7.0130034015919005</v>
      </c>
      <c r="F15" s="33">
        <f t="shared" si="3"/>
        <v>12.146878167765758</v>
      </c>
      <c r="G15" s="33">
        <f t="shared" si="3"/>
        <v>21.03900994535068</v>
      </c>
      <c r="H15" s="33">
        <f t="shared" si="3"/>
        <v>36.440633155285425</v>
      </c>
      <c r="I15" s="33">
        <f t="shared" si="3"/>
        <v>63.11702283157819</v>
      </c>
      <c r="J15" s="33">
        <f t="shared" si="3"/>
        <v>109.32186306956066</v>
      </c>
      <c r="K15" s="33">
        <f t="shared" si="3"/>
        <v>189.3508793743183</v>
      </c>
      <c r="L15"/>
      <c r="M15"/>
      <c r="N15"/>
      <c r="O15">
        <v>7</v>
      </c>
      <c r="P15" s="6">
        <f t="shared" si="0"/>
        <v>43.57610268175795</v>
      </c>
      <c r="Q15" s="6">
        <f t="shared" si="1"/>
        <v>0.3168943659577978</v>
      </c>
      <c r="R15" s="6">
        <f t="shared" si="2"/>
        <v>0.3168943659577978</v>
      </c>
    </row>
    <row r="16" spans="1:18" s="2" customFormat="1" ht="13.5" customHeight="1">
      <c r="A16" s="2" t="s">
        <v>15</v>
      </c>
      <c r="B16" s="2">
        <v>2</v>
      </c>
      <c r="C16" s="31">
        <f aca="true" t="shared" si="4" ref="C16:K16">648000*ATAN(0.5*C18/L)/PI()</f>
        <v>4.675335607466823</v>
      </c>
      <c r="D16" s="32">
        <f t="shared" si="4"/>
        <v>8.097918811794752</v>
      </c>
      <c r="E16" s="32">
        <f t="shared" si="4"/>
        <v>14.026006803183801</v>
      </c>
      <c r="F16" s="33">
        <f t="shared" si="4"/>
        <v>24.293756335531516</v>
      </c>
      <c r="G16" s="33">
        <f t="shared" si="4"/>
        <v>42.07801989070136</v>
      </c>
      <c r="H16" s="33">
        <f t="shared" si="4"/>
        <v>72.88126631057085</v>
      </c>
      <c r="I16" s="33">
        <f t="shared" si="4"/>
        <v>126.23404566315638</v>
      </c>
      <c r="J16" s="33">
        <f t="shared" si="4"/>
        <v>218.64372613912133</v>
      </c>
      <c r="K16" s="33">
        <f t="shared" si="4"/>
        <v>378.7017587486366</v>
      </c>
      <c r="L16"/>
      <c r="M16"/>
      <c r="N16"/>
      <c r="O16">
        <v>8</v>
      </c>
      <c r="P16" s="6">
        <f t="shared" si="0"/>
        <v>63.21512262449714</v>
      </c>
      <c r="Q16" s="6">
        <f t="shared" si="1"/>
        <v>0.45971335891380477</v>
      </c>
      <c r="R16" s="6">
        <f t="shared" si="2"/>
        <v>0.45971335891380477</v>
      </c>
    </row>
    <row r="17" spans="1:18" s="6" customFormat="1" ht="13.5" customHeight="1">
      <c r="A17" s="6" t="s">
        <v>16</v>
      </c>
      <c r="B17" s="6">
        <v>0.1</v>
      </c>
      <c r="C17" s="28">
        <v>0.034</v>
      </c>
      <c r="D17" s="27">
        <f>SQRT(3)*C17</f>
        <v>0.05888972745734183</v>
      </c>
      <c r="E17" s="27">
        <f aca="true" t="shared" si="5" ref="E17:K17">SQRT(3)*D17</f>
        <v>0.102</v>
      </c>
      <c r="F17" s="27">
        <f t="shared" si="5"/>
        <v>0.17666918237202547</v>
      </c>
      <c r="G17" s="27">
        <f t="shared" si="5"/>
        <v>0.30599999999999994</v>
      </c>
      <c r="H17" s="27">
        <f t="shared" si="5"/>
        <v>0.5300075471160763</v>
      </c>
      <c r="I17" s="27">
        <f t="shared" si="5"/>
        <v>0.9179999999999997</v>
      </c>
      <c r="J17" s="27">
        <f>SQRT(3)*I17</f>
        <v>1.5900226413482288</v>
      </c>
      <c r="K17" s="27">
        <f t="shared" si="5"/>
        <v>2.7539999999999987</v>
      </c>
      <c r="L17"/>
      <c r="M17"/>
      <c r="N17"/>
      <c r="O17">
        <v>9</v>
      </c>
      <c r="P17" s="6">
        <f t="shared" si="0"/>
        <v>91.70512006579925</v>
      </c>
      <c r="Q17" s="6">
        <f t="shared" si="1"/>
        <v>0.6668984964769336</v>
      </c>
      <c r="R17" s="6">
        <f t="shared" si="2"/>
        <v>0.6668984964769334</v>
      </c>
    </row>
    <row r="18" spans="1:18" s="6" customFormat="1" ht="13.5" customHeight="1">
      <c r="A18" s="6" t="s">
        <v>17</v>
      </c>
      <c r="C18" s="28">
        <f aca="true" t="shared" si="6" ref="C18:K18">2*C17</f>
        <v>0.068</v>
      </c>
      <c r="D18" s="27">
        <f t="shared" si="6"/>
        <v>0.11777945491468365</v>
      </c>
      <c r="E18" s="27">
        <f t="shared" si="6"/>
        <v>0.204</v>
      </c>
      <c r="F18" s="27">
        <f t="shared" si="6"/>
        <v>0.35333836474405095</v>
      </c>
      <c r="G18" s="27">
        <f t="shared" si="6"/>
        <v>0.6119999999999999</v>
      </c>
      <c r="H18" s="27">
        <f t="shared" si="6"/>
        <v>1.0600150942321527</v>
      </c>
      <c r="I18" s="27">
        <f t="shared" si="6"/>
        <v>1.8359999999999994</v>
      </c>
      <c r="J18" s="27">
        <f t="shared" si="6"/>
        <v>3.1800452826964576</v>
      </c>
      <c r="K18" s="27">
        <f t="shared" si="6"/>
        <v>5.507999999999997</v>
      </c>
      <c r="L18"/>
      <c r="M18"/>
      <c r="N18"/>
      <c r="O18"/>
      <c r="P18"/>
      <c r="Q18"/>
      <c r="R18"/>
    </row>
    <row r="19" spans="1:18" s="6" customFormat="1" ht="13.5" customHeight="1">
      <c r="A19" s="6" t="s">
        <v>18</v>
      </c>
      <c r="B19" s="6">
        <v>0.055</v>
      </c>
      <c r="C19" s="28">
        <f>C17*C21</f>
        <v>0.0204</v>
      </c>
      <c r="D19" s="28">
        <f>D17*D21</f>
        <v>0.03533383647440509</v>
      </c>
      <c r="E19" s="28">
        <f>E17-E20</f>
        <v>0.05199999999999999</v>
      </c>
      <c r="F19" s="28">
        <f aca="true" t="shared" si="7" ref="F19:K19">F17*F21</f>
        <v>0.09716805030461402</v>
      </c>
      <c r="G19" s="28">
        <f t="shared" si="7"/>
        <v>0.16217999999999996</v>
      </c>
      <c r="H19" s="28">
        <f t="shared" si="7"/>
        <v>0.3339047546831281</v>
      </c>
      <c r="I19" s="28">
        <f t="shared" si="7"/>
        <v>0.45899999999999985</v>
      </c>
      <c r="J19" s="28">
        <f t="shared" si="7"/>
        <v>0.7950113206741144</v>
      </c>
      <c r="K19" s="28">
        <f t="shared" si="7"/>
        <v>1.4871599999999994</v>
      </c>
      <c r="L19"/>
      <c r="M19"/>
      <c r="N19"/>
      <c r="O19"/>
      <c r="P19"/>
      <c r="Q19"/>
      <c r="R19"/>
    </row>
    <row r="20" spans="1:18" s="6" customFormat="1" ht="13.5" customHeight="1">
      <c r="A20" s="6" t="s">
        <v>19</v>
      </c>
      <c r="C20" s="28">
        <f>C17-C19</f>
        <v>0.013600000000000001</v>
      </c>
      <c r="D20" s="28">
        <f>D17-D19</f>
        <v>0.023555890982936735</v>
      </c>
      <c r="E20" s="28">
        <f>0.05</f>
        <v>0.05</v>
      </c>
      <c r="F20" s="28">
        <f aca="true" t="shared" si="8" ref="F20:K20">F17-F19</f>
        <v>0.07950113206741145</v>
      </c>
      <c r="G20" s="28">
        <f t="shared" si="8"/>
        <v>0.14381999999999998</v>
      </c>
      <c r="H20" s="28">
        <f t="shared" si="8"/>
        <v>0.19610279243294826</v>
      </c>
      <c r="I20" s="28">
        <f t="shared" si="8"/>
        <v>0.45899999999999985</v>
      </c>
      <c r="J20" s="28">
        <f t="shared" si="8"/>
        <v>0.7950113206741144</v>
      </c>
      <c r="K20" s="28">
        <f t="shared" si="8"/>
        <v>1.2668399999999993</v>
      </c>
      <c r="L20"/>
      <c r="M20"/>
      <c r="N20"/>
      <c r="O20"/>
      <c r="P20"/>
      <c r="Q20"/>
      <c r="R20"/>
    </row>
    <row r="21" spans="1:18" s="2" customFormat="1" ht="13.5" customHeight="1">
      <c r="A21" s="2" t="s">
        <v>20</v>
      </c>
      <c r="B21" s="2">
        <f>B19/B17</f>
        <v>0.5499999999999999</v>
      </c>
      <c r="C21" s="31">
        <v>0.6</v>
      </c>
      <c r="D21" s="31">
        <v>0.6</v>
      </c>
      <c r="E21" s="31">
        <f>E19/E17</f>
        <v>0.5098039215686274</v>
      </c>
      <c r="F21" s="31">
        <v>0.55</v>
      </c>
      <c r="G21" s="31">
        <v>0.53</v>
      </c>
      <c r="H21" s="31">
        <v>0.63</v>
      </c>
      <c r="I21" s="31">
        <v>0.5</v>
      </c>
      <c r="J21" s="31">
        <v>0.5</v>
      </c>
      <c r="K21" s="31">
        <v>0.54</v>
      </c>
      <c r="L21"/>
      <c r="M21"/>
      <c r="N21"/>
      <c r="O21"/>
      <c r="P21" s="6"/>
      <c r="Q21" s="6"/>
      <c r="R21" s="6"/>
    </row>
    <row r="22" spans="1:18" ht="13.5" customHeight="1">
      <c r="A22" t="s">
        <v>21</v>
      </c>
      <c r="B22">
        <v>3</v>
      </c>
      <c r="C22" s="28">
        <v>0.055</v>
      </c>
      <c r="D22" s="27">
        <v>0.055</v>
      </c>
      <c r="E22" s="33">
        <v>3</v>
      </c>
      <c r="F22" s="33">
        <v>3</v>
      </c>
      <c r="G22" s="33">
        <v>3</v>
      </c>
      <c r="H22" s="33">
        <v>20</v>
      </c>
      <c r="I22" s="33">
        <v>3</v>
      </c>
      <c r="J22" s="33">
        <v>3</v>
      </c>
      <c r="K22" s="33">
        <v>30</v>
      </c>
      <c r="P22" s="6"/>
      <c r="Q22" s="6"/>
      <c r="R22" s="6"/>
    </row>
    <row r="23" spans="1:14" s="2" customFormat="1" ht="13.5" customHeight="1">
      <c r="A23" s="2" t="s">
        <v>22</v>
      </c>
      <c r="C23" s="34">
        <f aca="true" t="shared" si="9" ref="C23:K23">180*ATAN(C19/C22)/PI()</f>
        <v>20.350275148302785</v>
      </c>
      <c r="D23" s="33">
        <f t="shared" si="9"/>
        <v>32.718043436847225</v>
      </c>
      <c r="E23" s="33">
        <f t="shared" si="9"/>
        <v>0.9930274030044767</v>
      </c>
      <c r="F23" s="33">
        <f t="shared" si="9"/>
        <v>1.8551245248752868</v>
      </c>
      <c r="G23" s="33">
        <f t="shared" si="9"/>
        <v>3.0943977439103882</v>
      </c>
      <c r="H23" s="33">
        <f t="shared" si="9"/>
        <v>0.9564778000796224</v>
      </c>
      <c r="I23" s="33">
        <f t="shared" si="9"/>
        <v>8.698796154704077</v>
      </c>
      <c r="J23" s="33">
        <f t="shared" si="9"/>
        <v>14.84242907967971</v>
      </c>
      <c r="K23" s="33">
        <f t="shared" si="9"/>
        <v>2.837943265385989</v>
      </c>
      <c r="L23"/>
      <c r="M23"/>
      <c r="N23"/>
    </row>
    <row r="24" spans="1:18" ht="13.5" customHeight="1">
      <c r="A24" t="s">
        <v>88</v>
      </c>
      <c r="C24" s="33">
        <f aca="true" t="shared" si="10" ref="C24:H24">35*C17</f>
        <v>1.1900000000000002</v>
      </c>
      <c r="D24" s="33">
        <f t="shared" si="10"/>
        <v>2.061140461006964</v>
      </c>
      <c r="E24" s="33">
        <f t="shared" si="10"/>
        <v>3.57</v>
      </c>
      <c r="F24" s="33">
        <f t="shared" si="10"/>
        <v>6.1834213830208915</v>
      </c>
      <c r="G24" s="33">
        <f t="shared" si="10"/>
        <v>10.709999999999997</v>
      </c>
      <c r="H24" s="33">
        <f t="shared" si="10"/>
        <v>18.55026414906267</v>
      </c>
      <c r="I24" s="33">
        <v>30</v>
      </c>
      <c r="J24" s="33">
        <v>30</v>
      </c>
      <c r="K24" s="33">
        <v>30</v>
      </c>
      <c r="P24" s="6"/>
      <c r="Q24" s="6"/>
      <c r="R24" s="6"/>
    </row>
    <row r="25" spans="1:18" ht="13.5" customHeight="1">
      <c r="A25" t="s">
        <v>92</v>
      </c>
      <c r="C25" s="27">
        <f>C27*C17</f>
        <v>0.02074</v>
      </c>
      <c r="D25" s="27">
        <f aca="true" t="shared" si="11" ref="D25:K25">D27*D17</f>
        <v>0.035922733748978516</v>
      </c>
      <c r="E25" s="27">
        <f t="shared" si="11"/>
        <v>0.06222</v>
      </c>
      <c r="F25" s="27">
        <f t="shared" si="11"/>
        <v>0.10776820124693554</v>
      </c>
      <c r="G25" s="27">
        <f t="shared" si="11"/>
        <v>0.18665999999999996</v>
      </c>
      <c r="H25" s="27">
        <f t="shared" si="11"/>
        <v>0.32330460374080655</v>
      </c>
      <c r="I25" s="27">
        <f t="shared" si="11"/>
        <v>0.5589999999999998</v>
      </c>
      <c r="J25" s="27">
        <f t="shared" si="11"/>
        <v>0.8950113206741143</v>
      </c>
      <c r="K25" s="27">
        <f t="shared" si="11"/>
        <v>1.4769999999999994</v>
      </c>
      <c r="P25" s="6"/>
      <c r="Q25" s="6"/>
      <c r="R25" s="6"/>
    </row>
    <row r="26" spans="1:14" s="2" customFormat="1" ht="13.5" customHeight="1">
      <c r="A26" s="2" t="s">
        <v>89</v>
      </c>
      <c r="C26" s="34">
        <f>180*ATAN(C25/C24)/PI()</f>
        <v>0.9984824959363987</v>
      </c>
      <c r="D26" s="34">
        <f aca="true" t="shared" si="12" ref="D26:K26">180*ATAN(D25/D24)/PI()</f>
        <v>0.9984824959363987</v>
      </c>
      <c r="E26" s="34">
        <f t="shared" si="12"/>
        <v>0.9984824959363987</v>
      </c>
      <c r="F26" s="34">
        <f t="shared" si="12"/>
        <v>0.9984824959363987</v>
      </c>
      <c r="G26" s="34">
        <f t="shared" si="12"/>
        <v>0.9984824959363987</v>
      </c>
      <c r="H26" s="34">
        <f t="shared" si="12"/>
        <v>0.9984824959363987</v>
      </c>
      <c r="I26" s="34">
        <f t="shared" si="12"/>
        <v>1.0674878253772575</v>
      </c>
      <c r="J26" s="34">
        <f t="shared" si="12"/>
        <v>1.7088388458047892</v>
      </c>
      <c r="K26" s="34">
        <f t="shared" si="12"/>
        <v>2.818586337879089</v>
      </c>
      <c r="L26"/>
      <c r="M26"/>
      <c r="N26"/>
    </row>
    <row r="27" spans="1:14" s="2" customFormat="1" ht="13.5" customHeight="1">
      <c r="A27" s="2" t="s">
        <v>91</v>
      </c>
      <c r="C27" s="31">
        <v>0.61</v>
      </c>
      <c r="D27" s="31">
        <v>0.61</v>
      </c>
      <c r="E27" s="31">
        <v>0.61</v>
      </c>
      <c r="F27" s="31">
        <v>0.61</v>
      </c>
      <c r="G27" s="31">
        <v>0.61</v>
      </c>
      <c r="H27" s="31">
        <v>0.61</v>
      </c>
      <c r="I27" s="31">
        <f>0.5+I24/(300*I17)</f>
        <v>0.6089324618736384</v>
      </c>
      <c r="J27" s="31">
        <f>0.5+J24/(300*J17)</f>
        <v>0.5628921861862337</v>
      </c>
      <c r="K27" s="31">
        <f>0.5+K24/(300*K17)</f>
        <v>0.5363108206245462</v>
      </c>
      <c r="L27"/>
      <c r="M27"/>
      <c r="N27"/>
    </row>
    <row r="28" spans="1:11" ht="13.5" customHeight="1">
      <c r="A28" t="s">
        <v>23</v>
      </c>
      <c r="B28">
        <v>90</v>
      </c>
      <c r="C28" s="30">
        <v>90</v>
      </c>
      <c r="D28" s="30">
        <v>90</v>
      </c>
      <c r="E28" s="30">
        <v>90</v>
      </c>
      <c r="F28" s="30">
        <v>90</v>
      </c>
      <c r="G28" s="30">
        <v>90</v>
      </c>
      <c r="H28" s="30">
        <v>90</v>
      </c>
      <c r="I28" s="30">
        <v>90</v>
      </c>
      <c r="J28" s="30">
        <v>90</v>
      </c>
      <c r="K28" s="30">
        <v>90</v>
      </c>
    </row>
    <row r="29" spans="3:11" ht="13.5" customHeight="1"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" customHeight="1">
      <c r="A30" t="s">
        <v>80</v>
      </c>
      <c r="C30" s="30" t="s">
        <v>82</v>
      </c>
      <c r="D30" s="30" t="s">
        <v>82</v>
      </c>
      <c r="E30" s="30" t="s">
        <v>83</v>
      </c>
      <c r="F30" s="30" t="s">
        <v>83</v>
      </c>
      <c r="G30" s="30" t="s">
        <v>83</v>
      </c>
      <c r="H30" s="30" t="s">
        <v>83</v>
      </c>
      <c r="I30" s="30" t="s">
        <v>83</v>
      </c>
      <c r="J30" s="30" t="s">
        <v>83</v>
      </c>
      <c r="K30" s="30" t="s">
        <v>83</v>
      </c>
    </row>
    <row r="31" spans="1:11" ht="13.5" customHeight="1">
      <c r="A31" t="s">
        <v>87</v>
      </c>
      <c r="C31" s="30">
        <v>0.0193</v>
      </c>
      <c r="D31" s="30">
        <v>0.0193</v>
      </c>
      <c r="E31" s="30">
        <v>0.0193</v>
      </c>
      <c r="F31" s="30">
        <v>0.0193</v>
      </c>
      <c r="G31" s="30">
        <v>0.0193</v>
      </c>
      <c r="H31" s="30">
        <v>0.0193</v>
      </c>
      <c r="I31" s="30">
        <v>0.0193</v>
      </c>
      <c r="J31" s="30">
        <v>0.0193</v>
      </c>
      <c r="K31" s="30">
        <v>0.0193</v>
      </c>
    </row>
    <row r="32" spans="1:11" ht="13.5" customHeight="1">
      <c r="A32" t="s">
        <v>86</v>
      </c>
      <c r="C32" s="30">
        <v>10</v>
      </c>
      <c r="D32" s="30">
        <v>10</v>
      </c>
      <c r="E32" s="30">
        <v>10</v>
      </c>
      <c r="F32" s="30">
        <v>10</v>
      </c>
      <c r="G32" s="30">
        <v>10</v>
      </c>
      <c r="H32" s="30">
        <v>10</v>
      </c>
      <c r="I32" s="30">
        <v>10</v>
      </c>
      <c r="J32" s="30">
        <v>10</v>
      </c>
      <c r="K32" s="30">
        <v>10</v>
      </c>
    </row>
    <row r="33" spans="1:11" ht="13.5" customHeight="1">
      <c r="A33" t="s">
        <v>81</v>
      </c>
      <c r="C33" s="30" t="s">
        <v>84</v>
      </c>
      <c r="D33" s="30" t="s">
        <v>84</v>
      </c>
      <c r="E33" s="30" t="s">
        <v>85</v>
      </c>
      <c r="F33" s="30" t="s">
        <v>85</v>
      </c>
      <c r="G33" s="30" t="s">
        <v>85</v>
      </c>
      <c r="H33" s="30" t="s">
        <v>85</v>
      </c>
      <c r="I33" s="30" t="s">
        <v>85</v>
      </c>
      <c r="J33" s="30" t="s">
        <v>84</v>
      </c>
      <c r="K33" s="30" t="s">
        <v>84</v>
      </c>
    </row>
    <row r="34" spans="1:12" ht="13.5" customHeight="1">
      <c r="A34" t="s">
        <v>97</v>
      </c>
      <c r="C34" s="37">
        <v>300</v>
      </c>
      <c r="D34" s="37">
        <v>300</v>
      </c>
      <c r="E34" s="37"/>
      <c r="F34" s="37"/>
      <c r="G34" s="37"/>
      <c r="H34" s="37"/>
      <c r="I34" s="37"/>
      <c r="J34" s="37">
        <f>PI()*J22*(POWER(J28,2)*(1-J21)/4+J28*J32+POWER(J32,2))*J31</f>
        <v>366.07015696873367</v>
      </c>
      <c r="K34" s="37">
        <f>PI()*K22*(POWER(K28,2)*(1-K21)/4+K28*K32+POWER(K32,2))*K31</f>
        <v>3513.3640158266285</v>
      </c>
      <c r="L34" s="39"/>
    </row>
    <row r="35" spans="1:12" ht="12.75">
      <c r="A35" t="s">
        <v>98</v>
      </c>
      <c r="C35" s="38"/>
      <c r="D35" s="38"/>
      <c r="E35" s="38">
        <f>(POWER(E28,2)*(1-E21)+4*E32*(E28+E32))*E22*E31</f>
        <v>461.49705882352947</v>
      </c>
      <c r="F35" s="38">
        <f>(POWER(F28,2)*(1-F21)+4*F32*(F28+F32))*F22*F31</f>
        <v>442.6455</v>
      </c>
      <c r="G35" s="38">
        <f>(POWER(G28,2)*(1-G21)+4*G32*(G28+G32))*G22*G31</f>
        <v>452.0253</v>
      </c>
      <c r="H35" s="38">
        <f>(POWER(H28,2)*(1-H21)+4*H32*(H28+H32))*H22*H31</f>
        <v>2700.842</v>
      </c>
      <c r="I35" s="38">
        <f>(POWER(I28,2)*(1-I21)+4*I32*(I28+I32))*I22*I31</f>
        <v>466.095</v>
      </c>
      <c r="J35" s="38"/>
      <c r="K35" s="38"/>
      <c r="L35" t="s">
        <v>93</v>
      </c>
    </row>
    <row r="36" spans="1:12" ht="12.75">
      <c r="A36" s="14" t="s">
        <v>99</v>
      </c>
      <c r="C36" s="38"/>
      <c r="D36" s="38"/>
      <c r="E36" s="38"/>
      <c r="F36" s="38"/>
      <c r="G36" s="38"/>
      <c r="H36" s="38"/>
      <c r="I36" s="38"/>
      <c r="J36" s="38"/>
      <c r="K36" s="38"/>
      <c r="L36" s="39">
        <f>SUM(C34:K35)</f>
        <v>9002.539031618891</v>
      </c>
    </row>
    <row r="37" spans="1:12" ht="13.5" customHeight="1">
      <c r="A37" t="s">
        <v>96</v>
      </c>
      <c r="C37" s="37">
        <v>300</v>
      </c>
      <c r="D37" s="37">
        <v>300</v>
      </c>
      <c r="E37" s="37">
        <f aca="true" t="shared" si="13" ref="E37:K37">PI()*E24*(POWER(E28,2)*(1-E21)/4+E28*E32+POWER(E32,2))*E31</f>
        <v>431.32614147185575</v>
      </c>
      <c r="F37" s="37">
        <f t="shared" si="13"/>
        <v>716.5615878844151</v>
      </c>
      <c r="G37" s="37">
        <f t="shared" si="13"/>
        <v>1267.4208303321745</v>
      </c>
      <c r="H37" s="37">
        <f t="shared" si="13"/>
        <v>1967.4747274403867</v>
      </c>
      <c r="I37" s="37">
        <f t="shared" si="13"/>
        <v>3660.7015696873364</v>
      </c>
      <c r="J37" s="37">
        <f t="shared" si="13"/>
        <v>3660.7015696873364</v>
      </c>
      <c r="K37" s="37">
        <f t="shared" si="13"/>
        <v>3513.3640158266285</v>
      </c>
      <c r="L37" s="39">
        <f>SUM(C37:K37)</f>
        <v>15817.550442330134</v>
      </c>
    </row>
    <row r="38" spans="1:12" ht="13.5" customHeight="1">
      <c r="A38" t="s">
        <v>95</v>
      </c>
      <c r="C38" s="37">
        <v>300</v>
      </c>
      <c r="D38" s="37">
        <v>300</v>
      </c>
      <c r="E38" s="37">
        <f aca="true" t="shared" si="14" ref="E38:K38">(POWER(E28,2)*(1-E21)+4*E32*(E28+E32))*E24*E31</f>
        <v>549.1815</v>
      </c>
      <c r="F38" s="37">
        <f t="shared" si="14"/>
        <v>912.3545499326581</v>
      </c>
      <c r="G38" s="37">
        <f t="shared" si="14"/>
        <v>1613.7303209999995</v>
      </c>
      <c r="H38" s="37">
        <f t="shared" si="14"/>
        <v>2505.066626244136</v>
      </c>
      <c r="I38" s="37">
        <f t="shared" si="14"/>
        <v>4660.950000000001</v>
      </c>
      <c r="J38" s="37">
        <f t="shared" si="14"/>
        <v>4660.950000000001</v>
      </c>
      <c r="K38" s="37">
        <f t="shared" si="14"/>
        <v>4473.354</v>
      </c>
      <c r="L38" s="39">
        <f>SUM(C38:K38)</f>
        <v>19975.586997176793</v>
      </c>
    </row>
    <row r="40" spans="2:20" s="15" customFormat="1" ht="25.5">
      <c r="B40" s="15" t="s">
        <v>24</v>
      </c>
      <c r="C40" s="22"/>
      <c r="O40" s="15" t="s">
        <v>25</v>
      </c>
      <c r="P40" s="16" t="s">
        <v>26</v>
      </c>
      <c r="Q40" s="15" t="s">
        <v>27</v>
      </c>
      <c r="R40" s="15" t="s">
        <v>28</v>
      </c>
      <c r="S40" s="15" t="s">
        <v>29</v>
      </c>
      <c r="T40" s="15" t="s">
        <v>30</v>
      </c>
    </row>
    <row r="41" spans="3:20" s="15" customFormat="1" ht="13.5" customHeight="1">
      <c r="C41" s="22"/>
      <c r="P41" s="15" t="s">
        <v>31</v>
      </c>
      <c r="Q41" s="15" t="s">
        <v>32</v>
      </c>
      <c r="R41" s="15" t="s">
        <v>32</v>
      </c>
      <c r="S41" s="15" t="s">
        <v>32</v>
      </c>
      <c r="T41" s="15" t="s">
        <v>33</v>
      </c>
    </row>
    <row r="42" spans="1:20" s="7" customFormat="1" ht="13.5" customHeight="1">
      <c r="A42" s="7" t="s">
        <v>34</v>
      </c>
      <c r="B42" s="7">
        <v>0.005</v>
      </c>
      <c r="C42" s="23">
        <v>0.0015</v>
      </c>
      <c r="D42" s="7">
        <v>0.0025</v>
      </c>
      <c r="E42" s="6">
        <v>0.004</v>
      </c>
      <c r="F42" s="6">
        <v>0.005</v>
      </c>
      <c r="G42" s="6">
        <v>0.006</v>
      </c>
      <c r="H42" s="6">
        <v>0.008</v>
      </c>
      <c r="I42" s="6">
        <v>0.012</v>
      </c>
      <c r="J42" s="6">
        <v>0.017</v>
      </c>
      <c r="K42" s="6">
        <v>0.025</v>
      </c>
      <c r="L42" s="6">
        <v>0.035</v>
      </c>
      <c r="M42" s="6">
        <v>0.05</v>
      </c>
      <c r="N42" s="6">
        <v>0.08</v>
      </c>
      <c r="O42" s="6">
        <v>1</v>
      </c>
      <c r="P42" s="6">
        <v>2</v>
      </c>
      <c r="Q42" s="6">
        <v>0.034</v>
      </c>
      <c r="R42" s="6">
        <v>0.02</v>
      </c>
      <c r="S42" s="6">
        <v>1.17</v>
      </c>
      <c r="T42" s="6">
        <v>1</v>
      </c>
    </row>
    <row r="43" spans="1:20" s="2" customFormat="1" ht="13.5" customHeight="1">
      <c r="A43" s="2" t="s">
        <v>35</v>
      </c>
      <c r="B43" s="2">
        <f aca="true" t="shared" si="15" ref="B43:N43">2.35*206265*B42/L</f>
        <v>1.6157425</v>
      </c>
      <c r="C43" s="21">
        <f t="shared" si="15"/>
        <v>0.48472275</v>
      </c>
      <c r="D43" s="2">
        <f t="shared" si="15"/>
        <v>0.80787125</v>
      </c>
      <c r="E43" s="2">
        <f t="shared" si="15"/>
        <v>1.292594</v>
      </c>
      <c r="F43" s="2">
        <f t="shared" si="15"/>
        <v>1.6157425</v>
      </c>
      <c r="G43" s="2">
        <f t="shared" si="15"/>
        <v>1.938891</v>
      </c>
      <c r="H43" s="2">
        <f t="shared" si="15"/>
        <v>2.585188</v>
      </c>
      <c r="I43" s="2">
        <f t="shared" si="15"/>
        <v>3.877782</v>
      </c>
      <c r="J43" s="2">
        <f t="shared" si="15"/>
        <v>5.4935245</v>
      </c>
      <c r="K43" s="2">
        <f t="shared" si="15"/>
        <v>8.0787125</v>
      </c>
      <c r="L43" s="2">
        <f t="shared" si="15"/>
        <v>11.310197500000003</v>
      </c>
      <c r="M43" s="2">
        <f t="shared" si="15"/>
        <v>16.157425</v>
      </c>
      <c r="N43" s="2">
        <f t="shared" si="15"/>
        <v>25.85188</v>
      </c>
      <c r="O43" s="6">
        <v>2</v>
      </c>
      <c r="P43" s="6">
        <v>2.9</v>
      </c>
      <c r="Q43" s="6">
        <v>0.049</v>
      </c>
      <c r="R43" s="6">
        <v>0.03</v>
      </c>
      <c r="S43" s="6">
        <v>1.69</v>
      </c>
      <c r="T43" s="6">
        <v>1</v>
      </c>
    </row>
    <row r="44" spans="1:20" s="2" customFormat="1" ht="13.5" customHeight="1">
      <c r="A44" s="2" t="s">
        <v>36</v>
      </c>
      <c r="B44" s="2">
        <f aca="true" t="shared" si="16" ref="B44:N44">2.35*206265*B42/L</f>
        <v>1.6157425</v>
      </c>
      <c r="C44" s="21">
        <f t="shared" si="16"/>
        <v>0.48472275</v>
      </c>
      <c r="D44" s="2">
        <f t="shared" si="16"/>
        <v>0.80787125</v>
      </c>
      <c r="E44" s="2">
        <f t="shared" si="16"/>
        <v>1.292594</v>
      </c>
      <c r="F44" s="2">
        <f t="shared" si="16"/>
        <v>1.6157425</v>
      </c>
      <c r="G44" s="2">
        <f t="shared" si="16"/>
        <v>1.938891</v>
      </c>
      <c r="H44" s="2">
        <f t="shared" si="16"/>
        <v>2.585188</v>
      </c>
      <c r="I44" s="2">
        <f t="shared" si="16"/>
        <v>3.877782</v>
      </c>
      <c r="J44" s="2">
        <f t="shared" si="16"/>
        <v>5.4935245</v>
      </c>
      <c r="K44" s="2">
        <f t="shared" si="16"/>
        <v>8.0787125</v>
      </c>
      <c r="L44" s="2">
        <f t="shared" si="16"/>
        <v>11.310197500000003</v>
      </c>
      <c r="M44" s="2">
        <f t="shared" si="16"/>
        <v>16.157425</v>
      </c>
      <c r="N44" s="2">
        <f t="shared" si="16"/>
        <v>25.85188</v>
      </c>
      <c r="O44" s="6">
        <v>3</v>
      </c>
      <c r="P44" s="6">
        <v>4.21</v>
      </c>
      <c r="Q44" s="6">
        <v>0.071</v>
      </c>
      <c r="R44" s="6">
        <v>0.043</v>
      </c>
      <c r="S44" s="6">
        <v>2.46</v>
      </c>
      <c r="T44" s="6">
        <v>1</v>
      </c>
    </row>
    <row r="45" spans="1:20" s="5" customFormat="1" ht="13.5" customHeight="1">
      <c r="A45" s="5" t="s">
        <v>37</v>
      </c>
      <c r="B45" s="5">
        <v>0.0002</v>
      </c>
      <c r="C45" s="24">
        <v>5E-05</v>
      </c>
      <c r="D45" s="8">
        <v>0.0001</v>
      </c>
      <c r="E45" s="8">
        <v>0.0002</v>
      </c>
      <c r="F45" s="8">
        <v>0.00025</v>
      </c>
      <c r="G45" s="8">
        <v>0.0003</v>
      </c>
      <c r="H45" s="8">
        <v>0.00045</v>
      </c>
      <c r="I45" s="8">
        <v>0.0007</v>
      </c>
      <c r="J45" s="5">
        <v>0.001</v>
      </c>
      <c r="K45" s="5">
        <v>0.0015</v>
      </c>
      <c r="L45" s="5">
        <v>0.002</v>
      </c>
      <c r="M45" s="5">
        <v>0.0029</v>
      </c>
      <c r="N45" s="5">
        <v>0.0045</v>
      </c>
      <c r="O45" s="6">
        <v>4</v>
      </c>
      <c r="P45" s="6">
        <v>6.11</v>
      </c>
      <c r="Q45" s="6">
        <v>0.104</v>
      </c>
      <c r="R45" s="6">
        <v>0.062</v>
      </c>
      <c r="S45" s="6">
        <v>3.56</v>
      </c>
      <c r="T45" s="6">
        <v>1</v>
      </c>
    </row>
    <row r="46" spans="1:20" s="2" customFormat="1" ht="13.5" customHeight="1">
      <c r="A46" s="2" t="s">
        <v>38</v>
      </c>
      <c r="B46" s="2">
        <f>2.35*206265*0.25*B28*B45/L</f>
        <v>1.45416825</v>
      </c>
      <c r="C46" s="21">
        <f aca="true" t="shared" si="17" ref="C46:N46">2.35*206265*0.25*Tube_Dia*C45/L</f>
        <v>0.28679429375000004</v>
      </c>
      <c r="D46" s="2">
        <f t="shared" si="17"/>
        <v>0.5735885875000001</v>
      </c>
      <c r="E46" s="2">
        <f t="shared" si="17"/>
        <v>1.1471771750000002</v>
      </c>
      <c r="F46" s="2">
        <f t="shared" si="17"/>
        <v>1.43397146875</v>
      </c>
      <c r="G46" s="2">
        <f t="shared" si="17"/>
        <v>1.7207657625</v>
      </c>
      <c r="H46" s="2">
        <f t="shared" si="17"/>
        <v>2.5811486437499997</v>
      </c>
      <c r="I46" s="2">
        <f t="shared" si="17"/>
        <v>4.0151201125</v>
      </c>
      <c r="J46" s="2">
        <f t="shared" si="17"/>
        <v>5.735885875</v>
      </c>
      <c r="K46" s="2">
        <f t="shared" si="17"/>
        <v>8.6038288125</v>
      </c>
      <c r="L46" s="2">
        <f t="shared" si="17"/>
        <v>11.47177175</v>
      </c>
      <c r="M46" s="2">
        <f t="shared" si="17"/>
        <v>16.634069037499998</v>
      </c>
      <c r="N46" s="2">
        <f t="shared" si="17"/>
        <v>25.811486437499997</v>
      </c>
      <c r="O46" s="6">
        <v>5</v>
      </c>
      <c r="P46" s="6">
        <v>8.86</v>
      </c>
      <c r="Q46" s="6">
        <v>0.15</v>
      </c>
      <c r="R46" s="6">
        <v>0.09</v>
      </c>
      <c r="S46" s="6">
        <v>5.17</v>
      </c>
      <c r="T46" s="6">
        <v>1</v>
      </c>
    </row>
    <row r="47" spans="1:20" ht="13.5" customHeight="1">
      <c r="A47" t="s">
        <v>39</v>
      </c>
      <c r="B47">
        <v>0.75</v>
      </c>
      <c r="C47" s="18">
        <f>20/60</f>
        <v>0.3333333333333333</v>
      </c>
      <c r="D47">
        <v>0.5</v>
      </c>
      <c r="E47">
        <v>0.6</v>
      </c>
      <c r="F47">
        <v>0.7</v>
      </c>
      <c r="G47">
        <v>0.8</v>
      </c>
      <c r="H47">
        <v>1</v>
      </c>
      <c r="I47">
        <v>1.5</v>
      </c>
      <c r="J47">
        <v>2</v>
      </c>
      <c r="K47">
        <v>2</v>
      </c>
      <c r="L47">
        <v>7</v>
      </c>
      <c r="M47">
        <v>10</v>
      </c>
      <c r="N47">
        <v>16</v>
      </c>
      <c r="O47" s="6">
        <v>6</v>
      </c>
      <c r="P47" s="6">
        <v>12.86</v>
      </c>
      <c r="Q47" s="6">
        <v>0.218</v>
      </c>
      <c r="R47" s="6">
        <v>0.131</v>
      </c>
      <c r="S47" s="6">
        <v>7.5</v>
      </c>
      <c r="T47" s="6">
        <v>1</v>
      </c>
    </row>
    <row r="48" spans="1:20" s="2" customFormat="1" ht="13.5" customHeight="1">
      <c r="A48" s="2" t="s">
        <v>40</v>
      </c>
      <c r="B48" s="2">
        <f>2.35*60*0.25*B28*B47/L</f>
        <v>1.58625</v>
      </c>
      <c r="C48" s="21">
        <f aca="true" t="shared" si="18" ref="C48:N48">2.35*60*0.25*Tube_Dia*C47/L</f>
        <v>0.5561666666666667</v>
      </c>
      <c r="D48" s="2">
        <f t="shared" si="18"/>
        <v>0.83425</v>
      </c>
      <c r="E48" s="2">
        <f t="shared" si="18"/>
        <v>1.0010999999999999</v>
      </c>
      <c r="F48" s="2">
        <f t="shared" si="18"/>
        <v>1.16795</v>
      </c>
      <c r="G48" s="2">
        <f t="shared" si="18"/>
        <v>1.3348</v>
      </c>
      <c r="H48" s="2">
        <f t="shared" si="18"/>
        <v>1.6685</v>
      </c>
      <c r="I48" s="2">
        <f t="shared" si="18"/>
        <v>2.50275</v>
      </c>
      <c r="J48" s="2">
        <f t="shared" si="18"/>
        <v>3.337</v>
      </c>
      <c r="K48" s="2">
        <f t="shared" si="18"/>
        <v>3.337</v>
      </c>
      <c r="L48" s="2">
        <f t="shared" si="18"/>
        <v>11.6795</v>
      </c>
      <c r="M48" s="2">
        <f t="shared" si="18"/>
        <v>16.685</v>
      </c>
      <c r="N48" s="2">
        <f t="shared" si="18"/>
        <v>26.696</v>
      </c>
      <c r="O48" s="6">
        <v>7</v>
      </c>
      <c r="P48" s="6">
        <v>18.66</v>
      </c>
      <c r="Q48" s="6">
        <v>0.317</v>
      </c>
      <c r="R48" s="6">
        <v>0.19</v>
      </c>
      <c r="S48" s="6">
        <v>10</v>
      </c>
      <c r="T48" s="6">
        <v>1.09</v>
      </c>
    </row>
    <row r="49" spans="1:20" ht="13.5" customHeight="1">
      <c r="A49" t="s">
        <v>41</v>
      </c>
      <c r="B49">
        <v>0.53</v>
      </c>
      <c r="C49" s="17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3.3</v>
      </c>
      <c r="M49">
        <v>4.7</v>
      </c>
      <c r="N49">
        <v>7.5</v>
      </c>
      <c r="O49" s="6">
        <v>8</v>
      </c>
      <c r="P49" s="6">
        <v>27.08</v>
      </c>
      <c r="Q49" s="6">
        <v>0.459</v>
      </c>
      <c r="R49" s="6">
        <v>0.276</v>
      </c>
      <c r="S49" s="6">
        <v>10</v>
      </c>
      <c r="T49" s="6">
        <v>1.58</v>
      </c>
    </row>
    <row r="50" spans="1:20" ht="13.5" customHeight="1">
      <c r="A50" s="2" t="s">
        <v>42</v>
      </c>
      <c r="B50">
        <f aca="true" t="shared" si="19" ref="B50:N50">B49</f>
        <v>0.53</v>
      </c>
      <c r="C50" s="17">
        <f t="shared" si="19"/>
        <v>1</v>
      </c>
      <c r="D50">
        <f t="shared" si="19"/>
        <v>1</v>
      </c>
      <c r="E50">
        <f t="shared" si="19"/>
        <v>1</v>
      </c>
      <c r="F50">
        <f t="shared" si="19"/>
        <v>1</v>
      </c>
      <c r="G50">
        <f t="shared" si="19"/>
        <v>1</v>
      </c>
      <c r="H50">
        <f t="shared" si="19"/>
        <v>1</v>
      </c>
      <c r="I50">
        <f t="shared" si="19"/>
        <v>1</v>
      </c>
      <c r="J50">
        <f t="shared" si="19"/>
        <v>1</v>
      </c>
      <c r="K50">
        <f t="shared" si="19"/>
        <v>1</v>
      </c>
      <c r="L50">
        <f t="shared" si="19"/>
        <v>3.3</v>
      </c>
      <c r="M50">
        <f t="shared" si="19"/>
        <v>4.7</v>
      </c>
      <c r="N50">
        <f t="shared" si="19"/>
        <v>7.5</v>
      </c>
      <c r="O50" s="6">
        <v>9</v>
      </c>
      <c r="P50" s="6">
        <v>39.29</v>
      </c>
      <c r="Q50" s="6">
        <v>0.667</v>
      </c>
      <c r="R50" s="6">
        <v>0.4</v>
      </c>
      <c r="S50" s="6">
        <v>10</v>
      </c>
      <c r="T50" s="6">
        <v>2.29</v>
      </c>
    </row>
    <row r="51" spans="1:20" ht="13.5" customHeight="1">
      <c r="A51" s="11" t="s">
        <v>43</v>
      </c>
      <c r="O51" s="6">
        <v>10</v>
      </c>
      <c r="P51" s="6">
        <v>57</v>
      </c>
      <c r="Q51" s="6">
        <v>0.967</v>
      </c>
      <c r="R51" s="6">
        <v>0.58</v>
      </c>
      <c r="S51" s="6">
        <v>10</v>
      </c>
      <c r="T51" s="6">
        <v>3.32</v>
      </c>
    </row>
    <row r="52" spans="1:20" s="2" customFormat="1" ht="13.5" customHeight="1">
      <c r="A52" s="36" t="s">
        <v>44</v>
      </c>
      <c r="B52" s="2">
        <f aca="true" t="shared" si="20" ref="B52:N52">SQRT(B43^2+B44^2+B46^2+B48^2+B50^2)</f>
        <v>3.183228237877479</v>
      </c>
      <c r="C52" s="21">
        <f t="shared" si="20"/>
        <v>1.3643623480490061</v>
      </c>
      <c r="D52" s="2">
        <f t="shared" si="20"/>
        <v>1.824907899967385</v>
      </c>
      <c r="E52" s="2">
        <f t="shared" si="20"/>
        <v>2.5806617714285967</v>
      </c>
      <c r="F52" s="2">
        <f t="shared" si="20"/>
        <v>3.105097265513841</v>
      </c>
      <c r="G52" s="2">
        <f t="shared" si="20"/>
        <v>3.6416098732777793</v>
      </c>
      <c r="H52" s="2">
        <f t="shared" si="20"/>
        <v>4.87981706233138</v>
      </c>
      <c r="I52" s="2">
        <f t="shared" si="20"/>
        <v>7.311588990045188</v>
      </c>
      <c r="J52" s="2">
        <f t="shared" si="20"/>
        <v>10.266137474007692</v>
      </c>
      <c r="K52" s="2">
        <f t="shared" si="20"/>
        <v>14.720483366728066</v>
      </c>
      <c r="L52" s="2">
        <f t="shared" si="20"/>
        <v>23.12451950445913</v>
      </c>
      <c r="M52" s="2">
        <f t="shared" si="20"/>
        <v>33.15563667018876</v>
      </c>
      <c r="N52" s="2">
        <f t="shared" si="20"/>
        <v>52.64787409935986</v>
      </c>
      <c r="O52" s="6">
        <v>11</v>
      </c>
      <c r="P52" s="6">
        <v>82.7</v>
      </c>
      <c r="Q52" s="6">
        <v>1.403</v>
      </c>
      <c r="R52" s="6">
        <v>0.842</v>
      </c>
      <c r="S52" s="6">
        <v>10</v>
      </c>
      <c r="T52" s="6">
        <v>4.81</v>
      </c>
    </row>
    <row r="53" spans="1:20" s="2" customFormat="1" ht="13.5" customHeight="1">
      <c r="A53" s="2" t="s">
        <v>45</v>
      </c>
      <c r="B53" s="2">
        <f>EXP(-(0.89*B52^2/B16^2))</f>
        <v>0.10491764203079826</v>
      </c>
      <c r="C53" s="21">
        <f aca="true" t="shared" si="21" ref="C53:N53">EXP(-(0.89*C52^2/C15^2))</f>
        <v>0.7384747599253807</v>
      </c>
      <c r="D53" s="2">
        <f t="shared" si="21"/>
        <v>0.8346069051441426</v>
      </c>
      <c r="E53" s="2">
        <f t="shared" si="21"/>
        <v>0.8864630573946326</v>
      </c>
      <c r="F53" s="2">
        <f t="shared" si="21"/>
        <v>0.9435006591130157</v>
      </c>
      <c r="G53" s="2">
        <f t="shared" si="21"/>
        <v>0.9736882894261442</v>
      </c>
      <c r="H53" s="2">
        <f t="shared" si="21"/>
        <v>0.9841669617606108</v>
      </c>
      <c r="I53" s="2">
        <f t="shared" si="21"/>
        <v>0.9881278415175555</v>
      </c>
      <c r="J53" s="2">
        <f t="shared" si="21"/>
        <v>0.9921821572587766</v>
      </c>
      <c r="K53" s="2">
        <f t="shared" si="21"/>
        <v>0.9946354661541692</v>
      </c>
      <c r="L53" s="2" t="e">
        <f t="shared" si="21"/>
        <v>#DIV/0!</v>
      </c>
      <c r="M53" s="2" t="e">
        <f t="shared" si="21"/>
        <v>#DIV/0!</v>
      </c>
      <c r="N53" s="2" t="e">
        <f t="shared" si="21"/>
        <v>#DIV/0!</v>
      </c>
      <c r="O53" s="6">
        <v>12</v>
      </c>
      <c r="P53" s="6">
        <v>120</v>
      </c>
      <c r="Q53" s="6">
        <v>2.036</v>
      </c>
      <c r="R53" s="6">
        <v>1.222</v>
      </c>
      <c r="S53" s="6">
        <v>10</v>
      </c>
      <c r="T53" s="6">
        <v>6.97</v>
      </c>
    </row>
    <row r="55" ht="13.5" customHeight="1">
      <c r="B55" t="s">
        <v>46</v>
      </c>
    </row>
    <row r="57" spans="1:14" ht="13.5" customHeight="1">
      <c r="A57" t="s">
        <v>47</v>
      </c>
      <c r="B57">
        <v>0.003</v>
      </c>
      <c r="C57" s="17">
        <v>0.001</v>
      </c>
      <c r="D57">
        <v>0.002</v>
      </c>
      <c r="E57">
        <v>0.003</v>
      </c>
      <c r="F57">
        <v>0.003</v>
      </c>
      <c r="G57">
        <v>0.004</v>
      </c>
      <c r="H57">
        <v>0.007</v>
      </c>
      <c r="I57">
        <v>0.01</v>
      </c>
      <c r="J57">
        <v>0.01</v>
      </c>
      <c r="K57">
        <v>0.02</v>
      </c>
      <c r="L57">
        <v>0.03</v>
      </c>
      <c r="M57">
        <v>0.04</v>
      </c>
      <c r="N57">
        <v>0.08</v>
      </c>
    </row>
    <row r="58" spans="1:14" s="7" customFormat="1" ht="13.5" customHeight="1">
      <c r="A58" s="7" t="s">
        <v>48</v>
      </c>
      <c r="B58" s="7">
        <f>B57/B17</f>
        <v>0.03</v>
      </c>
      <c r="C58" s="23">
        <f aca="true" t="shared" si="22" ref="C58:N58">C57/C18</f>
        <v>0.014705882352941176</v>
      </c>
      <c r="D58" s="7">
        <f t="shared" si="22"/>
        <v>0.01698089027028311</v>
      </c>
      <c r="E58" s="7">
        <f t="shared" si="22"/>
        <v>0.014705882352941178</v>
      </c>
      <c r="F58" s="7">
        <f t="shared" si="22"/>
        <v>0.008490445135141555</v>
      </c>
      <c r="G58" s="7">
        <f t="shared" si="22"/>
        <v>0.006535947712418302</v>
      </c>
      <c r="H58" s="7">
        <f t="shared" si="22"/>
        <v>0.0066036795495545446</v>
      </c>
      <c r="I58" s="7">
        <f t="shared" si="22"/>
        <v>0.005446623093681919</v>
      </c>
      <c r="J58" s="7">
        <f t="shared" si="22"/>
        <v>0.0031446093093116883</v>
      </c>
      <c r="K58" s="7">
        <f t="shared" si="22"/>
        <v>0.0036310820624546134</v>
      </c>
      <c r="L58" s="7" t="e">
        <f t="shared" si="22"/>
        <v>#DIV/0!</v>
      </c>
      <c r="M58" s="7" t="e">
        <f t="shared" si="22"/>
        <v>#DIV/0!</v>
      </c>
      <c r="N58" s="7" t="e">
        <f t="shared" si="22"/>
        <v>#DIV/0!</v>
      </c>
    </row>
    <row r="59" spans="1:14" ht="13.5" customHeight="1">
      <c r="A59" t="s">
        <v>49</v>
      </c>
      <c r="B59">
        <v>0.005</v>
      </c>
      <c r="C59" s="17">
        <v>0.002</v>
      </c>
      <c r="D59">
        <v>0.003</v>
      </c>
      <c r="E59">
        <v>0.007</v>
      </c>
      <c r="F59">
        <v>0.01</v>
      </c>
      <c r="G59">
        <v>0.015</v>
      </c>
      <c r="H59">
        <v>0.02</v>
      </c>
      <c r="I59">
        <v>0.02</v>
      </c>
      <c r="J59">
        <v>0.02</v>
      </c>
      <c r="K59">
        <v>0.04</v>
      </c>
      <c r="L59">
        <v>0.06</v>
      </c>
      <c r="M59">
        <v>0.08</v>
      </c>
      <c r="N59">
        <v>0.16</v>
      </c>
    </row>
    <row r="60" spans="1:14" s="7" customFormat="1" ht="13.5" customHeight="1">
      <c r="A60" s="7" t="s">
        <v>50</v>
      </c>
      <c r="B60" s="7">
        <f aca="true" t="shared" si="23" ref="B60:N60">B59/B17</f>
        <v>0.049999999999999996</v>
      </c>
      <c r="C60" s="23">
        <f t="shared" si="23"/>
        <v>0.058823529411764705</v>
      </c>
      <c r="D60" s="7">
        <f t="shared" si="23"/>
        <v>0.050942670810849335</v>
      </c>
      <c r="E60" s="7">
        <f t="shared" si="23"/>
        <v>0.06862745098039216</v>
      </c>
      <c r="F60" s="7">
        <f t="shared" si="23"/>
        <v>0.05660296756761037</v>
      </c>
      <c r="G60" s="7">
        <f t="shared" si="23"/>
        <v>0.04901960784313726</v>
      </c>
      <c r="H60" s="7">
        <f t="shared" si="23"/>
        <v>0.03773531171174026</v>
      </c>
      <c r="I60" s="7">
        <f t="shared" si="23"/>
        <v>0.021786492374727677</v>
      </c>
      <c r="J60" s="7">
        <f t="shared" si="23"/>
        <v>0.012578437237246753</v>
      </c>
      <c r="K60" s="7">
        <f t="shared" si="23"/>
        <v>0.014524328249818454</v>
      </c>
      <c r="L60" s="7" t="e">
        <f t="shared" si="23"/>
        <v>#DIV/0!</v>
      </c>
      <c r="M60" s="7" t="e">
        <f t="shared" si="23"/>
        <v>#DIV/0!</v>
      </c>
      <c r="N60" s="7" t="e">
        <f t="shared" si="23"/>
        <v>#DIV/0!</v>
      </c>
    </row>
    <row r="61" spans="1:14" ht="13.5" customHeight="1">
      <c r="A61" t="s">
        <v>51</v>
      </c>
      <c r="B61">
        <v>0.003</v>
      </c>
      <c r="C61" s="17">
        <v>0.0015</v>
      </c>
      <c r="D61">
        <v>0.004</v>
      </c>
      <c r="E61">
        <v>0.007</v>
      </c>
      <c r="F61">
        <v>0.01</v>
      </c>
      <c r="G61">
        <v>0.015</v>
      </c>
      <c r="H61">
        <v>0.02</v>
      </c>
      <c r="I61">
        <v>0.02</v>
      </c>
      <c r="J61">
        <v>0.02</v>
      </c>
      <c r="K61">
        <v>0.04</v>
      </c>
      <c r="L61">
        <v>0.06</v>
      </c>
      <c r="M61">
        <v>0.08</v>
      </c>
      <c r="N61">
        <v>0.16</v>
      </c>
    </row>
    <row r="62" spans="1:14" s="7" customFormat="1" ht="13.5" customHeight="1">
      <c r="A62" s="7" t="s">
        <v>52</v>
      </c>
      <c r="B62" s="7">
        <f aca="true" t="shared" si="24" ref="B62:N62">B61/B17</f>
        <v>0.03</v>
      </c>
      <c r="C62" s="23">
        <f t="shared" si="24"/>
        <v>0.044117647058823525</v>
      </c>
      <c r="D62" s="7">
        <f t="shared" si="24"/>
        <v>0.06792356108113244</v>
      </c>
      <c r="E62" s="7">
        <f t="shared" si="24"/>
        <v>0.06862745098039216</v>
      </c>
      <c r="F62" s="7">
        <f t="shared" si="24"/>
        <v>0.05660296756761037</v>
      </c>
      <c r="G62" s="7">
        <f t="shared" si="24"/>
        <v>0.04901960784313726</v>
      </c>
      <c r="H62" s="7">
        <f t="shared" si="24"/>
        <v>0.03773531171174026</v>
      </c>
      <c r="I62" s="7">
        <f t="shared" si="24"/>
        <v>0.021786492374727677</v>
      </c>
      <c r="J62" s="7">
        <f t="shared" si="24"/>
        <v>0.012578437237246753</v>
      </c>
      <c r="K62" s="7">
        <f t="shared" si="24"/>
        <v>0.014524328249818454</v>
      </c>
      <c r="L62" s="7" t="e">
        <f t="shared" si="24"/>
        <v>#DIV/0!</v>
      </c>
      <c r="M62" s="7" t="e">
        <f t="shared" si="24"/>
        <v>#DIV/0!</v>
      </c>
      <c r="N62" s="7" t="e">
        <f t="shared" si="24"/>
        <v>#DIV/0!</v>
      </c>
    </row>
    <row r="63" spans="1:14" ht="13.5" customHeight="1">
      <c r="A63" t="s">
        <v>53</v>
      </c>
      <c r="B63">
        <v>9</v>
      </c>
      <c r="C63" s="17">
        <v>6</v>
      </c>
      <c r="D63" s="1">
        <v>6</v>
      </c>
      <c r="E63" s="1">
        <v>6</v>
      </c>
      <c r="F63" s="1">
        <v>6</v>
      </c>
      <c r="G63" s="1">
        <v>6</v>
      </c>
      <c r="H63" s="1">
        <v>6</v>
      </c>
      <c r="I63" s="1">
        <v>6</v>
      </c>
      <c r="J63" s="1">
        <v>6</v>
      </c>
      <c r="K63" s="1">
        <v>6</v>
      </c>
      <c r="L63" s="1">
        <v>6</v>
      </c>
      <c r="M63">
        <v>7</v>
      </c>
      <c r="N63">
        <v>14</v>
      </c>
    </row>
    <row r="64" spans="1:14" ht="13.5" customHeight="1">
      <c r="A64" t="s">
        <v>54</v>
      </c>
      <c r="B64">
        <f aca="true" t="shared" si="25" ref="B64:N64">0.000291*B63*B22/B17</f>
        <v>0.07857</v>
      </c>
      <c r="C64" s="23">
        <f t="shared" si="25"/>
        <v>0.0028244117647058826</v>
      </c>
      <c r="D64" s="7">
        <f t="shared" si="25"/>
        <v>0.0016306748926552873</v>
      </c>
      <c r="E64" s="7">
        <f t="shared" si="25"/>
        <v>0.051352941176470594</v>
      </c>
      <c r="F64" s="7">
        <f t="shared" si="25"/>
        <v>0.029648634411914315</v>
      </c>
      <c r="G64" s="7">
        <f t="shared" si="25"/>
        <v>0.017117647058823536</v>
      </c>
      <c r="H64" s="7">
        <f t="shared" si="25"/>
        <v>0.0658858542486985</v>
      </c>
      <c r="I64" s="7">
        <f t="shared" si="25"/>
        <v>0.005705882352941179</v>
      </c>
      <c r="J64" s="7">
        <f t="shared" si="25"/>
        <v>0.0032942927124349247</v>
      </c>
      <c r="K64" s="7">
        <f t="shared" si="25"/>
        <v>0.019019607843137266</v>
      </c>
      <c r="L64" s="7" t="e">
        <f t="shared" si="25"/>
        <v>#DIV/0!</v>
      </c>
      <c r="M64" s="7" t="e">
        <f t="shared" si="25"/>
        <v>#DIV/0!</v>
      </c>
      <c r="N64" s="7" t="e">
        <f t="shared" si="25"/>
        <v>#DIV/0!</v>
      </c>
    </row>
    <row r="65" spans="1:14" ht="13.5" customHeight="1">
      <c r="A65" t="s">
        <v>55</v>
      </c>
      <c r="B65">
        <v>8.5</v>
      </c>
      <c r="C65" s="17">
        <v>8.5</v>
      </c>
      <c r="D65">
        <v>8.5</v>
      </c>
      <c r="E65">
        <v>8.5</v>
      </c>
      <c r="F65">
        <v>8.5</v>
      </c>
      <c r="G65">
        <v>8.5</v>
      </c>
      <c r="H65">
        <v>8.5</v>
      </c>
      <c r="I65">
        <v>8.5</v>
      </c>
      <c r="J65">
        <v>8.5</v>
      </c>
      <c r="K65">
        <v>8.5</v>
      </c>
      <c r="L65">
        <v>8.5</v>
      </c>
      <c r="M65">
        <v>8.5</v>
      </c>
      <c r="N65">
        <v>8.5</v>
      </c>
    </row>
    <row r="66" spans="1:14" s="7" customFormat="1" ht="13.5" customHeight="1">
      <c r="A66" s="7" t="s">
        <v>56</v>
      </c>
      <c r="B66" s="7">
        <f aca="true" t="shared" si="26" ref="B66:N66">0.000291*B65*B22/B17</f>
        <v>0.074205</v>
      </c>
      <c r="C66" s="23">
        <f t="shared" si="26"/>
        <v>0.00400125</v>
      </c>
      <c r="D66" s="7">
        <f t="shared" si="26"/>
        <v>0.00231012276459499</v>
      </c>
      <c r="E66" s="7">
        <f t="shared" si="26"/>
        <v>0.07275000000000001</v>
      </c>
      <c r="F66" s="7">
        <f t="shared" si="26"/>
        <v>0.042002232083545275</v>
      </c>
      <c r="G66" s="7">
        <f t="shared" si="26"/>
        <v>0.024250000000000004</v>
      </c>
      <c r="H66" s="7">
        <f t="shared" si="26"/>
        <v>0.09333829351898952</v>
      </c>
      <c r="I66" s="7">
        <f t="shared" si="26"/>
        <v>0.008083333333333336</v>
      </c>
      <c r="J66" s="7">
        <f t="shared" si="26"/>
        <v>0.004666914675949476</v>
      </c>
      <c r="K66" s="7">
        <f t="shared" si="26"/>
        <v>0.026944444444444455</v>
      </c>
      <c r="L66" s="7" t="e">
        <f t="shared" si="26"/>
        <v>#DIV/0!</v>
      </c>
      <c r="M66" s="7" t="e">
        <f t="shared" si="26"/>
        <v>#DIV/0!</v>
      </c>
      <c r="N66" s="7" t="e">
        <f t="shared" si="26"/>
        <v>#DIV/0!</v>
      </c>
    </row>
    <row r="67" spans="1:15" s="2" customFormat="1" ht="13.5" customHeight="1">
      <c r="A67" s="2" t="s">
        <v>57</v>
      </c>
      <c r="B67" s="2">
        <v>4.2</v>
      </c>
      <c r="C67" s="21">
        <v>4</v>
      </c>
      <c r="D67" s="10">
        <v>4</v>
      </c>
      <c r="E67" s="10">
        <v>4</v>
      </c>
      <c r="F67" s="10">
        <v>4</v>
      </c>
      <c r="G67" s="10">
        <v>4</v>
      </c>
      <c r="H67" s="10">
        <v>4</v>
      </c>
      <c r="I67" s="10">
        <v>4</v>
      </c>
      <c r="J67" s="10">
        <v>4</v>
      </c>
      <c r="K67" s="10">
        <v>4</v>
      </c>
      <c r="L67" s="10">
        <v>4</v>
      </c>
      <c r="M67" s="10">
        <v>4</v>
      </c>
      <c r="N67" s="10">
        <v>4</v>
      </c>
      <c r="O67"/>
    </row>
    <row r="68" spans="1:14" ht="13.5" customHeight="1">
      <c r="A68" t="s">
        <v>58</v>
      </c>
      <c r="B68">
        <f aca="true" t="shared" si="27" ref="B68:N68">0.000291*B67*B22/B17</f>
        <v>0.036666000000000004</v>
      </c>
      <c r="C68" s="23">
        <f t="shared" si="27"/>
        <v>0.001882941176470588</v>
      </c>
      <c r="D68" s="7">
        <f t="shared" si="27"/>
        <v>0.0010871165951035248</v>
      </c>
      <c r="E68" s="7">
        <f t="shared" si="27"/>
        <v>0.034235294117647065</v>
      </c>
      <c r="F68" s="7">
        <f t="shared" si="27"/>
        <v>0.019765756274609542</v>
      </c>
      <c r="G68" s="7">
        <f t="shared" si="27"/>
        <v>0.011411764705882356</v>
      </c>
      <c r="H68" s="7">
        <f t="shared" si="27"/>
        <v>0.04392390283246566</v>
      </c>
      <c r="I68" s="7">
        <f t="shared" si="27"/>
        <v>0.0038039215686274525</v>
      </c>
      <c r="J68" s="7">
        <f t="shared" si="27"/>
        <v>0.002196195141623283</v>
      </c>
      <c r="K68" s="7">
        <f t="shared" si="27"/>
        <v>0.012679738562091512</v>
      </c>
      <c r="L68" s="7" t="e">
        <f t="shared" si="27"/>
        <v>#DIV/0!</v>
      </c>
      <c r="M68" s="7" t="e">
        <f t="shared" si="27"/>
        <v>#DIV/0!</v>
      </c>
      <c r="N68" s="7" t="e">
        <f t="shared" si="27"/>
        <v>#DIV/0!</v>
      </c>
    </row>
    <row r="70" spans="1:15" s="2" customFormat="1" ht="13.5" customHeight="1">
      <c r="A70" s="2" t="s">
        <v>59</v>
      </c>
      <c r="B70" s="2">
        <f aca="true" t="shared" si="28" ref="B70:N70">SQRT(B58^2+B60^2+B62^2+B64^2+B66^2+B68^2)</f>
        <v>0.13162075247087748</v>
      </c>
      <c r="C70" s="21">
        <f t="shared" si="28"/>
        <v>0.07516894399348292</v>
      </c>
      <c r="D70" s="2">
        <f t="shared" si="28"/>
        <v>0.08663887166821065</v>
      </c>
      <c r="E70" s="2">
        <f t="shared" si="28"/>
        <v>0.13688484014932645</v>
      </c>
      <c r="F70" s="2">
        <f t="shared" si="28"/>
        <v>0.09753867785197505</v>
      </c>
      <c r="G70" s="2">
        <f t="shared" si="28"/>
        <v>0.07654976964839455</v>
      </c>
      <c r="H70" s="2">
        <f t="shared" si="28"/>
        <v>0.13369296223328764</v>
      </c>
      <c r="I70" s="2">
        <f t="shared" si="28"/>
        <v>0.03303536580115946</v>
      </c>
      <c r="J70" s="2">
        <f t="shared" si="28"/>
        <v>0.019072977338077172</v>
      </c>
      <c r="K70" s="2">
        <f t="shared" si="28"/>
        <v>0.041031954841205184</v>
      </c>
      <c r="L70" s="2" t="e">
        <f t="shared" si="28"/>
        <v>#DIV/0!</v>
      </c>
      <c r="M70" s="2" t="e">
        <f t="shared" si="28"/>
        <v>#DIV/0!</v>
      </c>
      <c r="N70" s="2" t="e">
        <f t="shared" si="28"/>
        <v>#DIV/0!</v>
      </c>
      <c r="O70"/>
    </row>
    <row r="71" spans="1:14" ht="13.5" customHeight="1">
      <c r="A71" t="s">
        <v>60</v>
      </c>
      <c r="B71">
        <f aca="true" t="shared" si="29" ref="B71:N71">B21</f>
        <v>0.5499999999999999</v>
      </c>
      <c r="C71" s="17">
        <f t="shared" si="29"/>
        <v>0.6</v>
      </c>
      <c r="D71">
        <f t="shared" si="29"/>
        <v>0.6</v>
      </c>
      <c r="E71">
        <f t="shared" si="29"/>
        <v>0.5098039215686274</v>
      </c>
      <c r="F71">
        <f t="shared" si="29"/>
        <v>0.55</v>
      </c>
      <c r="G71">
        <f t="shared" si="29"/>
        <v>0.53</v>
      </c>
      <c r="H71">
        <f t="shared" si="29"/>
        <v>0.63</v>
      </c>
      <c r="I71">
        <f t="shared" si="29"/>
        <v>0.5</v>
      </c>
      <c r="J71">
        <f t="shared" si="29"/>
        <v>0.5</v>
      </c>
      <c r="K71">
        <f t="shared" si="29"/>
        <v>0.54</v>
      </c>
      <c r="L71">
        <f t="shared" si="29"/>
        <v>0</v>
      </c>
      <c r="M71">
        <f t="shared" si="29"/>
        <v>0</v>
      </c>
      <c r="N71">
        <f t="shared" si="29"/>
        <v>0</v>
      </c>
    </row>
    <row r="72" spans="1:15" s="2" customFormat="1" ht="13.5" customHeight="1">
      <c r="A72" s="2" t="s">
        <v>61</v>
      </c>
      <c r="B72" s="2">
        <f aca="true" t="shared" si="30" ref="B72:N72">B71-B70</f>
        <v>0.4183792475291225</v>
      </c>
      <c r="C72" s="21">
        <f t="shared" si="30"/>
        <v>0.524831056006517</v>
      </c>
      <c r="D72" s="2">
        <f t="shared" si="30"/>
        <v>0.5133611283317894</v>
      </c>
      <c r="E72" s="2">
        <f t="shared" si="30"/>
        <v>0.37291908141930097</v>
      </c>
      <c r="F72" s="2">
        <f t="shared" si="30"/>
        <v>0.452461322148025</v>
      </c>
      <c r="G72" s="2">
        <f t="shared" si="30"/>
        <v>0.4534502303516055</v>
      </c>
      <c r="H72" s="2">
        <f t="shared" si="30"/>
        <v>0.49630703776671237</v>
      </c>
      <c r="I72" s="2">
        <f t="shared" si="30"/>
        <v>0.46696463419884054</v>
      </c>
      <c r="J72" s="2">
        <f t="shared" si="30"/>
        <v>0.48092702266192283</v>
      </c>
      <c r="K72" s="2">
        <f t="shared" si="30"/>
        <v>0.49896804515879484</v>
      </c>
      <c r="L72" s="2" t="e">
        <f t="shared" si="30"/>
        <v>#DIV/0!</v>
      </c>
      <c r="M72" s="2" t="e">
        <f t="shared" si="30"/>
        <v>#DIV/0!</v>
      </c>
      <c r="N72" s="2" t="e">
        <f t="shared" si="30"/>
        <v>#DIV/0!</v>
      </c>
      <c r="O72"/>
    </row>
    <row r="73" spans="1:15" s="2" customFormat="1" ht="13.5" customHeight="1">
      <c r="A73" s="2" t="s">
        <v>62</v>
      </c>
      <c r="B73" s="2">
        <f aca="true" t="shared" si="31" ref="B73:N73">1-(COS(PI()*B72)^2)</f>
        <v>0.9356776972062816</v>
      </c>
      <c r="C73" s="21">
        <f t="shared" si="31"/>
        <v>0.9939269201455015</v>
      </c>
      <c r="D73" s="2">
        <f t="shared" si="31"/>
        <v>0.9982391152302634</v>
      </c>
      <c r="E73" s="2">
        <f t="shared" si="31"/>
        <v>0.8489006638683774</v>
      </c>
      <c r="F73" s="2">
        <f t="shared" si="31"/>
        <v>0.9778607644312519</v>
      </c>
      <c r="G73" s="2">
        <f t="shared" si="31"/>
        <v>0.9787657644958113</v>
      </c>
      <c r="H73" s="2">
        <f t="shared" si="31"/>
        <v>0.9998654046697764</v>
      </c>
      <c r="I73" s="2">
        <f t="shared" si="31"/>
        <v>0.989267567729996</v>
      </c>
      <c r="J73" s="2">
        <f t="shared" si="31"/>
        <v>0.996413945278852</v>
      </c>
      <c r="K73" s="2">
        <f t="shared" si="31"/>
        <v>0.999989489591169</v>
      </c>
      <c r="L73" s="2" t="e">
        <f t="shared" si="31"/>
        <v>#DIV/0!</v>
      </c>
      <c r="M73" s="2" t="e">
        <f t="shared" si="31"/>
        <v>#DIV/0!</v>
      </c>
      <c r="N73" s="2" t="e">
        <f t="shared" si="31"/>
        <v>#DIV/0!</v>
      </c>
      <c r="O73"/>
    </row>
    <row r="74" ht="13.5" customHeight="1" hidden="1"/>
    <row r="75" ht="13.5" customHeight="1" hidden="1"/>
    <row r="76" ht="13.5" customHeight="1" hidden="1">
      <c r="B76" t="s">
        <v>63</v>
      </c>
    </row>
    <row r="77" ht="13.5" customHeight="1" hidden="1"/>
    <row r="78" spans="1:14" ht="13.5" customHeight="1" hidden="1">
      <c r="A78" t="s">
        <v>47</v>
      </c>
      <c r="B78">
        <f aca="true" t="shared" si="32" ref="B78:N78">B57</f>
        <v>0.003</v>
      </c>
      <c r="C78" s="17">
        <f t="shared" si="32"/>
        <v>0.001</v>
      </c>
      <c r="D78">
        <f t="shared" si="32"/>
        <v>0.002</v>
      </c>
      <c r="E78">
        <f t="shared" si="32"/>
        <v>0.003</v>
      </c>
      <c r="F78">
        <f t="shared" si="32"/>
        <v>0.003</v>
      </c>
      <c r="G78">
        <f t="shared" si="32"/>
        <v>0.004</v>
      </c>
      <c r="H78">
        <f t="shared" si="32"/>
        <v>0.007</v>
      </c>
      <c r="I78">
        <f t="shared" si="32"/>
        <v>0.01</v>
      </c>
      <c r="J78">
        <f t="shared" si="32"/>
        <v>0.01</v>
      </c>
      <c r="K78">
        <f t="shared" si="32"/>
        <v>0.02</v>
      </c>
      <c r="L78">
        <f t="shared" si="32"/>
        <v>0.03</v>
      </c>
      <c r="M78">
        <f t="shared" si="32"/>
        <v>0.04</v>
      </c>
      <c r="N78">
        <f t="shared" si="32"/>
        <v>0.08</v>
      </c>
    </row>
    <row r="79" spans="1:15" s="2" customFormat="1" ht="13.5" customHeight="1" hidden="1">
      <c r="A79" s="2" t="s">
        <v>48</v>
      </c>
      <c r="B79" s="2">
        <f aca="true" t="shared" si="33" ref="B79:N79">B58</f>
        <v>0.03</v>
      </c>
      <c r="C79" s="21">
        <f t="shared" si="33"/>
        <v>0.014705882352941176</v>
      </c>
      <c r="D79" s="2">
        <f t="shared" si="33"/>
        <v>0.01698089027028311</v>
      </c>
      <c r="E79" s="2">
        <f t="shared" si="33"/>
        <v>0.014705882352941178</v>
      </c>
      <c r="F79" s="2">
        <f t="shared" si="33"/>
        <v>0.008490445135141555</v>
      </c>
      <c r="G79" s="2">
        <f t="shared" si="33"/>
        <v>0.006535947712418302</v>
      </c>
      <c r="H79" s="2">
        <f t="shared" si="33"/>
        <v>0.0066036795495545446</v>
      </c>
      <c r="I79" s="2">
        <f t="shared" si="33"/>
        <v>0.005446623093681919</v>
      </c>
      <c r="J79" s="2">
        <f t="shared" si="33"/>
        <v>0.0031446093093116883</v>
      </c>
      <c r="K79" s="2">
        <f t="shared" si="33"/>
        <v>0.0036310820624546134</v>
      </c>
      <c r="L79" s="2" t="e">
        <f t="shared" si="33"/>
        <v>#DIV/0!</v>
      </c>
      <c r="M79" s="2" t="e">
        <f t="shared" si="33"/>
        <v>#DIV/0!</v>
      </c>
      <c r="N79" s="2" t="e">
        <f t="shared" si="33"/>
        <v>#DIV/0!</v>
      </c>
      <c r="O79"/>
    </row>
    <row r="80" spans="1:14" ht="13.5" customHeight="1" hidden="1">
      <c r="A80" t="s">
        <v>49</v>
      </c>
      <c r="B80">
        <f aca="true" t="shared" si="34" ref="B80:N80">B59</f>
        <v>0.005</v>
      </c>
      <c r="C80" s="17">
        <f t="shared" si="34"/>
        <v>0.002</v>
      </c>
      <c r="D80">
        <f t="shared" si="34"/>
        <v>0.003</v>
      </c>
      <c r="E80">
        <f t="shared" si="34"/>
        <v>0.007</v>
      </c>
      <c r="F80">
        <f t="shared" si="34"/>
        <v>0.01</v>
      </c>
      <c r="G80">
        <f t="shared" si="34"/>
        <v>0.015</v>
      </c>
      <c r="H80">
        <f t="shared" si="34"/>
        <v>0.02</v>
      </c>
      <c r="I80">
        <f t="shared" si="34"/>
        <v>0.02</v>
      </c>
      <c r="J80">
        <f t="shared" si="34"/>
        <v>0.02</v>
      </c>
      <c r="K80">
        <f t="shared" si="34"/>
        <v>0.04</v>
      </c>
      <c r="L80">
        <f t="shared" si="34"/>
        <v>0.06</v>
      </c>
      <c r="M80">
        <f t="shared" si="34"/>
        <v>0.08</v>
      </c>
      <c r="N80">
        <f t="shared" si="34"/>
        <v>0.16</v>
      </c>
    </row>
    <row r="81" spans="1:15" s="2" customFormat="1" ht="13.5" customHeight="1" hidden="1">
      <c r="A81" s="2" t="s">
        <v>50</v>
      </c>
      <c r="B81" s="2">
        <f aca="true" t="shared" si="35" ref="B81:N81">B60</f>
        <v>0.049999999999999996</v>
      </c>
      <c r="C81" s="21">
        <f t="shared" si="35"/>
        <v>0.058823529411764705</v>
      </c>
      <c r="D81" s="2">
        <f t="shared" si="35"/>
        <v>0.050942670810849335</v>
      </c>
      <c r="E81" s="2">
        <f t="shared" si="35"/>
        <v>0.06862745098039216</v>
      </c>
      <c r="F81" s="2">
        <f t="shared" si="35"/>
        <v>0.05660296756761037</v>
      </c>
      <c r="G81" s="2">
        <f t="shared" si="35"/>
        <v>0.04901960784313726</v>
      </c>
      <c r="H81" s="2">
        <f t="shared" si="35"/>
        <v>0.03773531171174026</v>
      </c>
      <c r="I81" s="2">
        <f t="shared" si="35"/>
        <v>0.021786492374727677</v>
      </c>
      <c r="J81" s="2">
        <f t="shared" si="35"/>
        <v>0.012578437237246753</v>
      </c>
      <c r="K81" s="2">
        <f t="shared" si="35"/>
        <v>0.014524328249818454</v>
      </c>
      <c r="L81" s="2" t="e">
        <f t="shared" si="35"/>
        <v>#DIV/0!</v>
      </c>
      <c r="M81" s="2" t="e">
        <f t="shared" si="35"/>
        <v>#DIV/0!</v>
      </c>
      <c r="N81" s="2" t="e">
        <f t="shared" si="35"/>
        <v>#DIV/0!</v>
      </c>
      <c r="O81"/>
    </row>
    <row r="82" spans="1:14" ht="13.5" customHeight="1" hidden="1">
      <c r="A82" t="s">
        <v>51</v>
      </c>
      <c r="B82">
        <f aca="true" t="shared" si="36" ref="B82:N82">B61</f>
        <v>0.003</v>
      </c>
      <c r="C82" s="17">
        <f t="shared" si="36"/>
        <v>0.0015</v>
      </c>
      <c r="D82">
        <f t="shared" si="36"/>
        <v>0.004</v>
      </c>
      <c r="E82">
        <f t="shared" si="36"/>
        <v>0.007</v>
      </c>
      <c r="F82">
        <f t="shared" si="36"/>
        <v>0.01</v>
      </c>
      <c r="G82">
        <f t="shared" si="36"/>
        <v>0.015</v>
      </c>
      <c r="H82">
        <f t="shared" si="36"/>
        <v>0.02</v>
      </c>
      <c r="I82">
        <f t="shared" si="36"/>
        <v>0.02</v>
      </c>
      <c r="J82">
        <f t="shared" si="36"/>
        <v>0.02</v>
      </c>
      <c r="K82">
        <f t="shared" si="36"/>
        <v>0.04</v>
      </c>
      <c r="L82">
        <f t="shared" si="36"/>
        <v>0.06</v>
      </c>
      <c r="M82">
        <f t="shared" si="36"/>
        <v>0.08</v>
      </c>
      <c r="N82">
        <f t="shared" si="36"/>
        <v>0.16</v>
      </c>
    </row>
    <row r="83" spans="1:15" s="2" customFormat="1" ht="13.5" customHeight="1" hidden="1">
      <c r="A83" s="2" t="s">
        <v>52</v>
      </c>
      <c r="B83" s="2">
        <f aca="true" t="shared" si="37" ref="B83:N83">B62</f>
        <v>0.03</v>
      </c>
      <c r="C83" s="21">
        <f t="shared" si="37"/>
        <v>0.044117647058823525</v>
      </c>
      <c r="D83" s="2">
        <f t="shared" si="37"/>
        <v>0.06792356108113244</v>
      </c>
      <c r="E83" s="2">
        <f t="shared" si="37"/>
        <v>0.06862745098039216</v>
      </c>
      <c r="F83" s="2">
        <f t="shared" si="37"/>
        <v>0.05660296756761037</v>
      </c>
      <c r="G83" s="2">
        <f t="shared" si="37"/>
        <v>0.04901960784313726</v>
      </c>
      <c r="H83" s="2">
        <f t="shared" si="37"/>
        <v>0.03773531171174026</v>
      </c>
      <c r="I83" s="2">
        <f t="shared" si="37"/>
        <v>0.021786492374727677</v>
      </c>
      <c r="J83" s="2">
        <f t="shared" si="37"/>
        <v>0.012578437237246753</v>
      </c>
      <c r="K83" s="2">
        <f t="shared" si="37"/>
        <v>0.014524328249818454</v>
      </c>
      <c r="L83" s="2" t="e">
        <f t="shared" si="37"/>
        <v>#DIV/0!</v>
      </c>
      <c r="M83" s="2" t="e">
        <f t="shared" si="37"/>
        <v>#DIV/0!</v>
      </c>
      <c r="N83" s="2" t="e">
        <f t="shared" si="37"/>
        <v>#DIV/0!</v>
      </c>
      <c r="O83"/>
    </row>
    <row r="84" spans="1:14" ht="13.5" customHeight="1" hidden="1">
      <c r="A84" t="s">
        <v>64</v>
      </c>
      <c r="B84">
        <f aca="true" t="shared" si="38" ref="B84:N84">B63</f>
        <v>9</v>
      </c>
      <c r="C84" s="17">
        <f t="shared" si="38"/>
        <v>6</v>
      </c>
      <c r="D84">
        <f t="shared" si="38"/>
        <v>6</v>
      </c>
      <c r="E84">
        <f t="shared" si="38"/>
        <v>6</v>
      </c>
      <c r="F84">
        <f t="shared" si="38"/>
        <v>6</v>
      </c>
      <c r="G84">
        <f t="shared" si="38"/>
        <v>6</v>
      </c>
      <c r="H84">
        <f t="shared" si="38"/>
        <v>6</v>
      </c>
      <c r="I84">
        <f t="shared" si="38"/>
        <v>6</v>
      </c>
      <c r="J84">
        <f t="shared" si="38"/>
        <v>6</v>
      </c>
      <c r="K84">
        <f t="shared" si="38"/>
        <v>6</v>
      </c>
      <c r="L84">
        <f t="shared" si="38"/>
        <v>6</v>
      </c>
      <c r="M84">
        <f t="shared" si="38"/>
        <v>7</v>
      </c>
      <c r="N84">
        <f t="shared" si="38"/>
        <v>14</v>
      </c>
    </row>
    <row r="85" spans="1:15" s="2" customFormat="1" ht="13.5" customHeight="1" hidden="1">
      <c r="A85" s="2" t="s">
        <v>54</v>
      </c>
      <c r="B85" s="2">
        <f aca="true" t="shared" si="39" ref="B85:N85">B64</f>
        <v>0.07857</v>
      </c>
      <c r="C85" s="21">
        <f t="shared" si="39"/>
        <v>0.0028244117647058826</v>
      </c>
      <c r="D85" s="2">
        <f t="shared" si="39"/>
        <v>0.0016306748926552873</v>
      </c>
      <c r="E85" s="2">
        <f t="shared" si="39"/>
        <v>0.051352941176470594</v>
      </c>
      <c r="F85" s="2">
        <f t="shared" si="39"/>
        <v>0.029648634411914315</v>
      </c>
      <c r="G85" s="2">
        <f t="shared" si="39"/>
        <v>0.017117647058823536</v>
      </c>
      <c r="H85" s="2">
        <f t="shared" si="39"/>
        <v>0.0658858542486985</v>
      </c>
      <c r="I85" s="2">
        <f t="shared" si="39"/>
        <v>0.005705882352941179</v>
      </c>
      <c r="J85" s="2">
        <f t="shared" si="39"/>
        <v>0.0032942927124349247</v>
      </c>
      <c r="K85" s="2">
        <f t="shared" si="39"/>
        <v>0.019019607843137266</v>
      </c>
      <c r="L85" s="2" t="e">
        <f t="shared" si="39"/>
        <v>#DIV/0!</v>
      </c>
      <c r="M85" s="2" t="e">
        <f t="shared" si="39"/>
        <v>#DIV/0!</v>
      </c>
      <c r="N85" s="2" t="e">
        <f t="shared" si="39"/>
        <v>#DIV/0!</v>
      </c>
      <c r="O85"/>
    </row>
    <row r="86" spans="1:14" ht="13.5" customHeight="1" hidden="1">
      <c r="A86" t="s">
        <v>65</v>
      </c>
      <c r="B86">
        <v>16</v>
      </c>
      <c r="C86" s="17">
        <v>16</v>
      </c>
      <c r="D86">
        <v>16</v>
      </c>
      <c r="E86">
        <v>16</v>
      </c>
      <c r="F86">
        <v>16</v>
      </c>
      <c r="G86">
        <v>16</v>
      </c>
      <c r="H86">
        <v>16</v>
      </c>
      <c r="I86">
        <v>16</v>
      </c>
      <c r="J86">
        <v>16</v>
      </c>
      <c r="K86">
        <v>16</v>
      </c>
      <c r="L86">
        <v>16</v>
      </c>
      <c r="M86">
        <v>16</v>
      </c>
      <c r="N86">
        <v>16</v>
      </c>
    </row>
    <row r="87" spans="1:15" s="2" customFormat="1" ht="13.5" customHeight="1" hidden="1">
      <c r="A87" s="2" t="s">
        <v>66</v>
      </c>
      <c r="B87" s="2">
        <f aca="true" t="shared" si="40" ref="B87:N87">0.000291*B86*B22/B17</f>
        <v>0.13968</v>
      </c>
      <c r="C87" s="21">
        <f t="shared" si="40"/>
        <v>0.007531764705882352</v>
      </c>
      <c r="D87" s="2">
        <f t="shared" si="40"/>
        <v>0.004348466380414099</v>
      </c>
      <c r="E87" s="2">
        <f t="shared" si="40"/>
        <v>0.13694117647058826</v>
      </c>
      <c r="F87" s="2">
        <f t="shared" si="40"/>
        <v>0.07906302509843817</v>
      </c>
      <c r="G87" s="2">
        <f t="shared" si="40"/>
        <v>0.04564705882352942</v>
      </c>
      <c r="H87" s="2">
        <f t="shared" si="40"/>
        <v>0.17569561132986264</v>
      </c>
      <c r="I87" s="2">
        <f t="shared" si="40"/>
        <v>0.01521568627450981</v>
      </c>
      <c r="J87" s="2">
        <f t="shared" si="40"/>
        <v>0.008784780566493133</v>
      </c>
      <c r="K87" s="2">
        <f t="shared" si="40"/>
        <v>0.05071895424836605</v>
      </c>
      <c r="L87" s="2" t="e">
        <f t="shared" si="40"/>
        <v>#DIV/0!</v>
      </c>
      <c r="M87" s="2" t="e">
        <f t="shared" si="40"/>
        <v>#DIV/0!</v>
      </c>
      <c r="N87" s="2" t="e">
        <f t="shared" si="40"/>
        <v>#DIV/0!</v>
      </c>
      <c r="O87"/>
    </row>
    <row r="88" spans="1:14" ht="13.5" customHeight="1" hidden="1">
      <c r="A88" s="2" t="s">
        <v>67</v>
      </c>
      <c r="B88">
        <v>15</v>
      </c>
      <c r="C88" s="17">
        <v>15</v>
      </c>
      <c r="D88">
        <v>15</v>
      </c>
      <c r="E88">
        <v>15</v>
      </c>
      <c r="F88">
        <v>15</v>
      </c>
      <c r="G88">
        <v>15</v>
      </c>
      <c r="H88">
        <v>15</v>
      </c>
      <c r="I88">
        <v>15</v>
      </c>
      <c r="J88">
        <v>15</v>
      </c>
      <c r="K88">
        <v>15</v>
      </c>
      <c r="L88">
        <v>15</v>
      </c>
      <c r="M88">
        <v>15</v>
      </c>
      <c r="N88">
        <v>15</v>
      </c>
    </row>
    <row r="89" spans="1:15" s="2" customFormat="1" ht="13.5" customHeight="1" hidden="1">
      <c r="A89" s="2" t="s">
        <v>68</v>
      </c>
      <c r="B89" s="2">
        <f aca="true" t="shared" si="41" ref="B89:N89">0.000291*B88*B22/B17</f>
        <v>0.13095</v>
      </c>
      <c r="C89" s="21">
        <f t="shared" si="41"/>
        <v>0.0070610294117647064</v>
      </c>
      <c r="D89" s="2">
        <f t="shared" si="41"/>
        <v>0.004076687231638219</v>
      </c>
      <c r="E89" s="2">
        <f t="shared" si="41"/>
        <v>0.1283823529411765</v>
      </c>
      <c r="F89" s="2">
        <f t="shared" si="41"/>
        <v>0.0741215860297858</v>
      </c>
      <c r="G89" s="2">
        <f t="shared" si="41"/>
        <v>0.042794117647058844</v>
      </c>
      <c r="H89" s="2">
        <f t="shared" si="41"/>
        <v>0.16471463562174624</v>
      </c>
      <c r="I89" s="2">
        <f t="shared" si="41"/>
        <v>0.014264705882352948</v>
      </c>
      <c r="J89" s="2">
        <f t="shared" si="41"/>
        <v>0.008235731781087312</v>
      </c>
      <c r="K89" s="2">
        <f t="shared" si="41"/>
        <v>0.04754901960784316</v>
      </c>
      <c r="L89" s="2" t="e">
        <f t="shared" si="41"/>
        <v>#DIV/0!</v>
      </c>
      <c r="M89" s="2" t="e">
        <f t="shared" si="41"/>
        <v>#DIV/0!</v>
      </c>
      <c r="N89" s="2" t="e">
        <f t="shared" si="41"/>
        <v>#DIV/0!</v>
      </c>
      <c r="O89"/>
    </row>
    <row r="90" ht="13.5" customHeight="1" hidden="1"/>
    <row r="91" spans="1:14" ht="13.5" customHeight="1" hidden="1">
      <c r="A91" s="2" t="s">
        <v>59</v>
      </c>
      <c r="B91" s="2">
        <f aca="true" t="shared" si="42" ref="B91:N91">B81+B83+B85+B87+B89</f>
        <v>0.4292</v>
      </c>
      <c r="C91" s="21">
        <f t="shared" si="42"/>
        <v>0.12035838235294116</v>
      </c>
      <c r="D91" s="2">
        <f t="shared" si="42"/>
        <v>0.12892206039668938</v>
      </c>
      <c r="E91" s="2">
        <f t="shared" si="42"/>
        <v>0.4539313725490197</v>
      </c>
      <c r="F91" s="2">
        <f t="shared" si="42"/>
        <v>0.296039180675359</v>
      </c>
      <c r="G91" s="2">
        <f t="shared" si="42"/>
        <v>0.20359803921568634</v>
      </c>
      <c r="H91" s="2">
        <f t="shared" si="42"/>
        <v>0.4817667246237879</v>
      </c>
      <c r="I91" s="2">
        <f t="shared" si="42"/>
        <v>0.07875925925925929</v>
      </c>
      <c r="J91" s="2">
        <f t="shared" si="42"/>
        <v>0.04547167953450888</v>
      </c>
      <c r="K91" s="2">
        <f t="shared" si="42"/>
        <v>0.1463362381989834</v>
      </c>
      <c r="L91" s="2" t="e">
        <f t="shared" si="42"/>
        <v>#DIV/0!</v>
      </c>
      <c r="M91" s="2" t="e">
        <f t="shared" si="42"/>
        <v>#DIV/0!</v>
      </c>
      <c r="N91" s="2" t="e">
        <f t="shared" si="42"/>
        <v>#DIV/0!</v>
      </c>
    </row>
    <row r="92" spans="1:14" ht="13.5" customHeight="1" hidden="1">
      <c r="A92" t="s">
        <v>60</v>
      </c>
      <c r="B92">
        <f aca="true" t="shared" si="43" ref="B92:N92">B21</f>
        <v>0.5499999999999999</v>
      </c>
      <c r="C92" s="17">
        <f t="shared" si="43"/>
        <v>0.6</v>
      </c>
      <c r="D92">
        <f t="shared" si="43"/>
        <v>0.6</v>
      </c>
      <c r="E92">
        <f t="shared" si="43"/>
        <v>0.5098039215686274</v>
      </c>
      <c r="F92">
        <f t="shared" si="43"/>
        <v>0.55</v>
      </c>
      <c r="G92">
        <f t="shared" si="43"/>
        <v>0.53</v>
      </c>
      <c r="H92">
        <f t="shared" si="43"/>
        <v>0.63</v>
      </c>
      <c r="I92">
        <f t="shared" si="43"/>
        <v>0.5</v>
      </c>
      <c r="J92">
        <f t="shared" si="43"/>
        <v>0.5</v>
      </c>
      <c r="K92">
        <f t="shared" si="43"/>
        <v>0.54</v>
      </c>
      <c r="L92">
        <f t="shared" si="43"/>
        <v>0</v>
      </c>
      <c r="M92">
        <f t="shared" si="43"/>
        <v>0</v>
      </c>
      <c r="N92">
        <f t="shared" si="43"/>
        <v>0</v>
      </c>
    </row>
    <row r="93" spans="1:14" ht="13.5" customHeight="1" hidden="1">
      <c r="A93" s="2" t="s">
        <v>61</v>
      </c>
      <c r="B93" s="2">
        <f aca="true" t="shared" si="44" ref="B93:N93">B92-B91</f>
        <v>0.12079999999999991</v>
      </c>
      <c r="C93" s="21">
        <f t="shared" si="44"/>
        <v>0.4796416176470588</v>
      </c>
      <c r="D93" s="2">
        <f t="shared" si="44"/>
        <v>0.47107793960331057</v>
      </c>
      <c r="E93" s="2">
        <f t="shared" si="44"/>
        <v>0.0558725490196077</v>
      </c>
      <c r="F93" s="2">
        <f t="shared" si="44"/>
        <v>0.25396081932464104</v>
      </c>
      <c r="G93" s="2">
        <f t="shared" si="44"/>
        <v>0.3264019607843137</v>
      </c>
      <c r="H93" s="2">
        <f t="shared" si="44"/>
        <v>0.14823327537621211</v>
      </c>
      <c r="I93" s="2">
        <f t="shared" si="44"/>
        <v>0.4212407407407407</v>
      </c>
      <c r="J93" s="2">
        <f t="shared" si="44"/>
        <v>0.45452832046549113</v>
      </c>
      <c r="K93" s="2">
        <f t="shared" si="44"/>
        <v>0.39366376180101664</v>
      </c>
      <c r="L93" s="2" t="e">
        <f t="shared" si="44"/>
        <v>#DIV/0!</v>
      </c>
      <c r="M93" s="2" t="e">
        <f t="shared" si="44"/>
        <v>#DIV/0!</v>
      </c>
      <c r="N93" s="2" t="e">
        <f t="shared" si="44"/>
        <v>#DIV/0!</v>
      </c>
    </row>
    <row r="94" spans="1:14" ht="13.5" customHeight="1" hidden="1">
      <c r="A94" s="2" t="s">
        <v>62</v>
      </c>
      <c r="B94" s="2">
        <f aca="true" t="shared" si="45" ref="B94:N94">1-(COS(PI()*B93)^2)</f>
        <v>0.13724073812640092</v>
      </c>
      <c r="C94" s="21">
        <f t="shared" si="45"/>
        <v>0.995914981535613</v>
      </c>
      <c r="D94" s="2">
        <f t="shared" si="45"/>
        <v>0.9917669125786606</v>
      </c>
      <c r="E94" s="2">
        <f t="shared" si="45"/>
        <v>0.03049522698131457</v>
      </c>
      <c r="F94" s="2">
        <f t="shared" si="45"/>
        <v>0.5124419964933464</v>
      </c>
      <c r="G94" s="2">
        <f t="shared" si="45"/>
        <v>0.7309107323317887</v>
      </c>
      <c r="H94" s="2">
        <f t="shared" si="45"/>
        <v>0.20163526272372423</v>
      </c>
      <c r="I94" s="2">
        <f t="shared" si="45"/>
        <v>0.9400178353884375</v>
      </c>
      <c r="J94" s="2">
        <f t="shared" si="45"/>
        <v>0.9797313188426447</v>
      </c>
      <c r="K94" s="2">
        <f t="shared" si="45"/>
        <v>0.8924906795966844</v>
      </c>
      <c r="L94" s="2" t="e">
        <f t="shared" si="45"/>
        <v>#DIV/0!</v>
      </c>
      <c r="M94" s="2" t="e">
        <f t="shared" si="45"/>
        <v>#DIV/0!</v>
      </c>
      <c r="N94" s="2" t="e">
        <f t="shared" si="45"/>
        <v>#DIV/0!</v>
      </c>
    </row>
    <row r="95" ht="13.5" customHeight="1" hidden="1"/>
    <row r="97" spans="1:15" s="2" customFormat="1" ht="13.5" customHeight="1">
      <c r="A97" s="2" t="str">
        <f aca="true" t="shared" si="46" ref="A97:N97">A53</f>
        <v>Smearing Factor (Fs)</v>
      </c>
      <c r="B97" s="2">
        <f t="shared" si="46"/>
        <v>0.10491764203079826</v>
      </c>
      <c r="C97" s="21">
        <f t="shared" si="46"/>
        <v>0.7384747599253807</v>
      </c>
      <c r="D97" s="2">
        <f t="shared" si="46"/>
        <v>0.8346069051441426</v>
      </c>
      <c r="E97" s="2">
        <f t="shared" si="46"/>
        <v>0.8864630573946326</v>
      </c>
      <c r="F97" s="2">
        <f t="shared" si="46"/>
        <v>0.9435006591130157</v>
      </c>
      <c r="G97" s="2">
        <f t="shared" si="46"/>
        <v>0.9736882894261442</v>
      </c>
      <c r="H97" s="2">
        <f t="shared" si="46"/>
        <v>0.9841669617606108</v>
      </c>
      <c r="I97" s="2">
        <f t="shared" si="46"/>
        <v>0.9881278415175555</v>
      </c>
      <c r="J97" s="2">
        <f t="shared" si="46"/>
        <v>0.9921821572587766</v>
      </c>
      <c r="K97" s="2">
        <f t="shared" si="46"/>
        <v>0.9946354661541692</v>
      </c>
      <c r="L97" s="2" t="e">
        <f t="shared" si="46"/>
        <v>#DIV/0!</v>
      </c>
      <c r="M97" s="2" t="e">
        <f t="shared" si="46"/>
        <v>#DIV/0!</v>
      </c>
      <c r="N97" s="2" t="e">
        <f t="shared" si="46"/>
        <v>#DIV/0!</v>
      </c>
      <c r="O97"/>
    </row>
    <row r="98" spans="1:15" s="2" customFormat="1" ht="13.5" customHeight="1">
      <c r="A98" s="2" t="str">
        <f aca="true" t="shared" si="47" ref="A98:N98">A73</f>
        <v>Waveform Factor  (Fw)</v>
      </c>
      <c r="B98" s="2">
        <f t="shared" si="47"/>
        <v>0.9356776972062816</v>
      </c>
      <c r="C98" s="21">
        <f t="shared" si="47"/>
        <v>0.9939269201455015</v>
      </c>
      <c r="D98" s="2">
        <f t="shared" si="47"/>
        <v>0.9982391152302634</v>
      </c>
      <c r="E98" s="2">
        <f t="shared" si="47"/>
        <v>0.8489006638683774</v>
      </c>
      <c r="F98" s="2">
        <f t="shared" si="47"/>
        <v>0.9778607644312519</v>
      </c>
      <c r="G98" s="2">
        <f t="shared" si="47"/>
        <v>0.9787657644958113</v>
      </c>
      <c r="H98" s="2">
        <f t="shared" si="47"/>
        <v>0.9998654046697764</v>
      </c>
      <c r="I98" s="2">
        <f t="shared" si="47"/>
        <v>0.989267567729996</v>
      </c>
      <c r="J98" s="2">
        <f t="shared" si="47"/>
        <v>0.996413945278852</v>
      </c>
      <c r="K98" s="2">
        <f t="shared" si="47"/>
        <v>0.999989489591169</v>
      </c>
      <c r="L98" s="2" t="e">
        <f t="shared" si="47"/>
        <v>#DIV/0!</v>
      </c>
      <c r="M98" s="2" t="e">
        <f t="shared" si="47"/>
        <v>#DIV/0!</v>
      </c>
      <c r="N98" s="2" t="e">
        <f t="shared" si="47"/>
        <v>#DIV/0!</v>
      </c>
      <c r="O98"/>
    </row>
    <row r="99" spans="1:15" s="4" customFormat="1" ht="13.5" customHeight="1">
      <c r="A99" s="4" t="s">
        <v>69</v>
      </c>
      <c r="B99" s="4">
        <f aca="true" t="shared" si="48" ref="B99:N99">B97*B98</f>
        <v>0.0981690976916903</v>
      </c>
      <c r="C99" s="25">
        <f t="shared" si="48"/>
        <v>0.7339899437378223</v>
      </c>
      <c r="D99" s="4">
        <f t="shared" si="48"/>
        <v>0.8331372585561573</v>
      </c>
      <c r="E99" s="4">
        <f t="shared" si="48"/>
        <v>0.7525190779170952</v>
      </c>
      <c r="F99" s="4">
        <f t="shared" si="48"/>
        <v>0.9226122757616436</v>
      </c>
      <c r="G99" s="4">
        <f t="shared" si="48"/>
        <v>0.9530127629807987</v>
      </c>
      <c r="H99" s="4">
        <f t="shared" si="48"/>
        <v>0.9840344974833974</v>
      </c>
      <c r="I99" s="4">
        <f t="shared" si="48"/>
        <v>0.9775228263843632</v>
      </c>
      <c r="J99" s="4">
        <f t="shared" si="48"/>
        <v>0.9886241377494999</v>
      </c>
      <c r="K99" s="4">
        <f t="shared" si="48"/>
        <v>0.9946250121287821</v>
      </c>
      <c r="L99" s="4" t="e">
        <f t="shared" si="48"/>
        <v>#DIV/0!</v>
      </c>
      <c r="M99" s="4" t="e">
        <f t="shared" si="48"/>
        <v>#DIV/0!</v>
      </c>
      <c r="N99" s="4" t="e">
        <f t="shared" si="48"/>
        <v>#DIV/0!</v>
      </c>
      <c r="O99"/>
    </row>
    <row r="100" spans="3:14" s="2" customFormat="1" ht="13.5" customHeight="1">
      <c r="C100" s="21">
        <f aca="true" t="shared" si="49" ref="C100:N100">C15</f>
        <v>2.3376678037334115</v>
      </c>
      <c r="D100" s="2">
        <f t="shared" si="49"/>
        <v>4.048959405897376</v>
      </c>
      <c r="E100" s="2">
        <f t="shared" si="49"/>
        <v>7.0130034015919005</v>
      </c>
      <c r="F100" s="2">
        <f t="shared" si="49"/>
        <v>12.146878167765758</v>
      </c>
      <c r="G100" s="2">
        <f t="shared" si="49"/>
        <v>21.03900994535068</v>
      </c>
      <c r="H100" s="2">
        <f t="shared" si="49"/>
        <v>36.440633155285425</v>
      </c>
      <c r="I100" s="2">
        <f t="shared" si="49"/>
        <v>63.11702283157819</v>
      </c>
      <c r="J100" s="2">
        <f t="shared" si="49"/>
        <v>109.32186306956066</v>
      </c>
      <c r="K100" s="2">
        <f t="shared" si="49"/>
        <v>189.3508793743183</v>
      </c>
      <c r="L100" s="2">
        <f t="shared" si="49"/>
        <v>0</v>
      </c>
      <c r="M100" s="2">
        <f t="shared" si="49"/>
        <v>0</v>
      </c>
      <c r="N100" s="2">
        <f t="shared" si="49"/>
        <v>0</v>
      </c>
    </row>
    <row r="101" spans="3:14" ht="13.5" customHeight="1">
      <c r="C101" s="17">
        <f aca="true" t="shared" si="50" ref="C101:N101">C14</f>
        <v>1</v>
      </c>
      <c r="D101" s="1">
        <f t="shared" si="50"/>
        <v>2</v>
      </c>
      <c r="E101" s="1">
        <f t="shared" si="50"/>
        <v>3</v>
      </c>
      <c r="F101" s="1">
        <f t="shared" si="50"/>
        <v>4</v>
      </c>
      <c r="G101" s="1">
        <f t="shared" si="50"/>
        <v>5</v>
      </c>
      <c r="H101" s="1">
        <f t="shared" si="50"/>
        <v>6</v>
      </c>
      <c r="I101" s="1">
        <f t="shared" si="50"/>
        <v>7</v>
      </c>
      <c r="J101" s="1">
        <f t="shared" si="50"/>
        <v>8</v>
      </c>
      <c r="K101" s="1">
        <f t="shared" si="50"/>
        <v>9</v>
      </c>
      <c r="L101" s="1">
        <f t="shared" si="50"/>
        <v>0</v>
      </c>
      <c r="M101" s="1">
        <f t="shared" si="50"/>
        <v>0</v>
      </c>
      <c r="N101" s="1">
        <f t="shared" si="50"/>
        <v>0</v>
      </c>
    </row>
    <row r="103" ht="13.5" customHeight="1">
      <c r="A103" t="s">
        <v>70</v>
      </c>
    </row>
    <row r="105" ht="13.5" customHeight="1">
      <c r="A105" t="s">
        <v>71</v>
      </c>
    </row>
    <row r="106" ht="13.5" customHeight="1">
      <c r="A106" t="s">
        <v>72</v>
      </c>
    </row>
    <row r="107" ht="13.5" customHeight="1">
      <c r="A107" t="s">
        <v>73</v>
      </c>
    </row>
    <row r="109" ht="13.5" customHeight="1">
      <c r="A109" t="s">
        <v>74</v>
      </c>
    </row>
    <row r="110" spans="1:3" ht="15" customHeight="1">
      <c r="A110" s="13" t="s">
        <v>75</v>
      </c>
      <c r="B110" s="14"/>
      <c r="C110" s="26"/>
    </row>
    <row r="111" ht="14.25" customHeight="1">
      <c r="A111" s="11" t="s">
        <v>76</v>
      </c>
    </row>
    <row r="112" ht="12.75" customHeight="1">
      <c r="A112" s="11" t="s">
        <v>77</v>
      </c>
    </row>
  </sheetData>
  <printOptions gridLines="1" headings="1" horizontalCentered="1" verticalCentered="1"/>
  <pageMargins left="0" right="0" top="1" bottom="1" header="0.5" footer="0.5"/>
  <pageSetup blackAndWhite="1" horizontalDpi="300" verticalDpi="300" orientation="landscape" scale="70" r:id="rId3"/>
  <headerFooter alignWithMargins="0">
    <oddHeader>&amp;C&amp;"Geneva,Bold"&amp;14HESSI Error Budget&amp;R&amp;D</oddHeader>
    <oddFooter>&amp;C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"/>
  <sheetViews>
    <sheetView zoomScale="75" zoomScaleNormal="75" workbookViewId="0" topLeftCell="A17">
      <selection activeCell="A1" sqref="A1:J1"/>
    </sheetView>
  </sheetViews>
  <sheetFormatPr defaultColWidth="9.00390625" defaultRowHeight="13.5" customHeight="1"/>
  <cols>
    <col min="1" max="1" width="32.375" style="0" customWidth="1"/>
    <col min="2" max="4" width="12.625" style="17" customWidth="1"/>
    <col min="5" max="10" width="12.625" style="0" customWidth="1"/>
    <col min="11" max="14" width="8.50390625" style="0" customWidth="1"/>
    <col min="15" max="15" width="21.375" style="0" bestFit="1" customWidth="1"/>
    <col min="16" max="16" width="7.875" style="0" customWidth="1"/>
    <col min="17" max="17" width="7.625" style="0" customWidth="1"/>
    <col min="19" max="19" width="9.875" style="0" customWidth="1"/>
    <col min="20" max="20" width="14.625" style="0" bestFit="1" customWidth="1"/>
    <col min="21" max="21" width="16.50390625" style="0" bestFit="1" customWidth="1"/>
    <col min="22" max="22" width="7.50390625" style="0" customWidth="1"/>
    <col min="23" max="16384" width="2.50390625" style="0" customWidth="1"/>
  </cols>
  <sheetData>
    <row r="1" spans="1:10" ht="13.5" customHeight="1">
      <c r="A1" t="s">
        <v>0</v>
      </c>
      <c r="B1" s="17" t="s">
        <v>1</v>
      </c>
      <c r="I1" s="50">
        <v>33297</v>
      </c>
      <c r="J1" s="40"/>
    </row>
    <row r="2" spans="1:10" ht="13.5" customHeight="1">
      <c r="A2" t="s">
        <v>3</v>
      </c>
      <c r="B2" s="69" t="s">
        <v>4</v>
      </c>
      <c r="C2" s="69"/>
      <c r="D2" s="69"/>
      <c r="E2" s="70"/>
      <c r="F2" s="40"/>
      <c r="G2" s="40"/>
      <c r="I2" s="50">
        <v>33663</v>
      </c>
      <c r="J2" s="40"/>
    </row>
    <row r="3" spans="1:11" ht="13.5" customHeight="1">
      <c r="A3" t="s">
        <v>6</v>
      </c>
      <c r="B3" s="69" t="s">
        <v>4</v>
      </c>
      <c r="C3" s="69"/>
      <c r="D3" s="69"/>
      <c r="E3" s="70"/>
      <c r="F3" s="40"/>
      <c r="G3" s="40"/>
      <c r="I3" s="42">
        <v>34209</v>
      </c>
      <c r="J3" s="14"/>
      <c r="K3" s="14"/>
    </row>
    <row r="4" spans="2:11" ht="13.5" customHeight="1">
      <c r="B4" s="69" t="s">
        <v>78</v>
      </c>
      <c r="C4" s="69"/>
      <c r="D4" s="69"/>
      <c r="E4" s="70"/>
      <c r="F4" s="40"/>
      <c r="G4" s="40"/>
      <c r="I4" s="42">
        <v>34277</v>
      </c>
      <c r="J4" s="14"/>
      <c r="K4" s="14"/>
    </row>
    <row r="5" spans="1:11" ht="13.5" customHeight="1">
      <c r="A5" t="s">
        <v>94</v>
      </c>
      <c r="B5" s="69" t="s">
        <v>4</v>
      </c>
      <c r="C5" s="69"/>
      <c r="D5" s="69"/>
      <c r="E5" s="70"/>
      <c r="F5" s="40"/>
      <c r="G5" s="40"/>
      <c r="I5" s="42">
        <v>34283</v>
      </c>
      <c r="J5" s="14"/>
      <c r="K5" s="14"/>
    </row>
    <row r="6" spans="1:11" ht="13.5" customHeight="1">
      <c r="A6" t="s">
        <v>100</v>
      </c>
      <c r="B6" s="69" t="s">
        <v>101</v>
      </c>
      <c r="C6" s="69"/>
      <c r="D6" s="69"/>
      <c r="E6" s="70"/>
      <c r="F6" s="40"/>
      <c r="G6" s="40"/>
      <c r="I6" s="42">
        <v>34285</v>
      </c>
      <c r="J6" s="14"/>
      <c r="K6" s="14"/>
    </row>
    <row r="7" spans="1:11" ht="13.5" customHeight="1">
      <c r="A7" t="s">
        <v>100</v>
      </c>
      <c r="B7" s="69" t="s">
        <v>104</v>
      </c>
      <c r="C7" s="69"/>
      <c r="D7" s="69"/>
      <c r="E7" s="70"/>
      <c r="F7" s="40"/>
      <c r="G7" s="40"/>
      <c r="I7" s="42">
        <v>34314</v>
      </c>
      <c r="J7" s="14"/>
      <c r="K7" s="14"/>
    </row>
    <row r="8" spans="1:11" ht="13.5" customHeight="1">
      <c r="A8" t="s">
        <v>105</v>
      </c>
      <c r="B8" s="41" t="s">
        <v>104</v>
      </c>
      <c r="C8" s="41"/>
      <c r="D8" s="41"/>
      <c r="E8" s="40"/>
      <c r="F8" s="40"/>
      <c r="G8" s="40"/>
      <c r="I8" s="42">
        <v>34339</v>
      </c>
      <c r="J8" s="14"/>
      <c r="K8" s="14"/>
    </row>
    <row r="9" spans="1:11" ht="13.5" customHeight="1">
      <c r="A9" t="s">
        <v>114</v>
      </c>
      <c r="B9" s="41" t="s">
        <v>104</v>
      </c>
      <c r="C9" s="41"/>
      <c r="D9" s="41"/>
      <c r="E9" s="40"/>
      <c r="F9" s="40"/>
      <c r="G9" s="40"/>
      <c r="I9" s="42">
        <v>34345</v>
      </c>
      <c r="J9" s="14"/>
      <c r="K9" s="14"/>
    </row>
    <row r="10" spans="1:11" ht="13.5" customHeight="1">
      <c r="A10" t="s">
        <v>120</v>
      </c>
      <c r="B10" s="41" t="s">
        <v>122</v>
      </c>
      <c r="C10" s="41"/>
      <c r="D10" s="41"/>
      <c r="E10" s="40"/>
      <c r="F10" s="40"/>
      <c r="G10" s="40"/>
      <c r="I10" s="42">
        <v>34348</v>
      </c>
      <c r="J10" s="14"/>
      <c r="K10" s="14"/>
    </row>
    <row r="11" spans="1:11" ht="13.5" customHeight="1">
      <c r="A11" t="s">
        <v>114</v>
      </c>
      <c r="B11" s="41" t="s">
        <v>104</v>
      </c>
      <c r="C11" s="41"/>
      <c r="D11" s="41"/>
      <c r="E11" s="40"/>
      <c r="F11" s="40"/>
      <c r="G11" s="40"/>
      <c r="I11" s="42">
        <v>34646</v>
      </c>
      <c r="J11" s="14"/>
      <c r="K11" s="14"/>
    </row>
    <row r="12" spans="1:11" ht="13.5" customHeight="1">
      <c r="A12" t="s">
        <v>114</v>
      </c>
      <c r="B12" s="41" t="s">
        <v>104</v>
      </c>
      <c r="C12" s="41"/>
      <c r="D12" s="41"/>
      <c r="E12" s="40"/>
      <c r="F12" s="40"/>
      <c r="G12" s="40"/>
      <c r="I12" s="42">
        <v>34648</v>
      </c>
      <c r="J12" s="14"/>
      <c r="K12" s="14"/>
    </row>
    <row r="13" spans="1:11" ht="13.5" customHeight="1">
      <c r="A13" t="s">
        <v>114</v>
      </c>
      <c r="B13" s="41" t="s">
        <v>104</v>
      </c>
      <c r="C13" s="41"/>
      <c r="D13" s="41"/>
      <c r="E13" s="40"/>
      <c r="F13" s="40"/>
      <c r="G13" s="40"/>
      <c r="I13" s="42">
        <v>35335</v>
      </c>
      <c r="J13" s="14"/>
      <c r="K13" s="14"/>
    </row>
    <row r="14" spans="2:11" ht="13.5" customHeight="1">
      <c r="B14" s="41"/>
      <c r="C14" s="41"/>
      <c r="D14" s="41"/>
      <c r="E14" s="40"/>
      <c r="F14" s="40"/>
      <c r="G14" s="40"/>
      <c r="I14" s="42"/>
      <c r="J14" s="14"/>
      <c r="K14" s="14"/>
    </row>
    <row r="15" ht="20.25">
      <c r="A15" s="35" t="s">
        <v>127</v>
      </c>
    </row>
    <row r="16" spans="1:21" ht="13.5" customHeight="1">
      <c r="A16" s="17" t="s">
        <v>10</v>
      </c>
      <c r="M16" s="9"/>
      <c r="S16" s="6"/>
      <c r="T16" s="6"/>
      <c r="U16" s="6"/>
    </row>
    <row r="17" spans="19:21" ht="13.5" customHeight="1">
      <c r="S17" s="6"/>
      <c r="T17" s="6"/>
      <c r="U17" s="6"/>
    </row>
    <row r="18" spans="1:21" s="3" customFormat="1" ht="13.5" customHeight="1">
      <c r="A18" s="3" t="s">
        <v>11</v>
      </c>
      <c r="B18" s="20">
        <v>1550</v>
      </c>
      <c r="C18" s="20"/>
      <c r="D18" s="20"/>
      <c r="R18"/>
      <c r="S18" s="6"/>
      <c r="T18" s="6"/>
      <c r="U18" s="6"/>
    </row>
    <row r="19" spans="1:21" s="3" customFormat="1" ht="13.5" customHeight="1">
      <c r="A19" s="3" t="s">
        <v>12</v>
      </c>
      <c r="B19" s="20">
        <v>71</v>
      </c>
      <c r="C19" s="20"/>
      <c r="D19" s="20"/>
      <c r="R19"/>
      <c r="S19" s="6"/>
      <c r="T19" s="6"/>
      <c r="U19" s="6"/>
    </row>
    <row r="20" spans="19:21" ht="13.5" customHeight="1">
      <c r="S20" s="6"/>
      <c r="T20" s="6"/>
      <c r="U20" s="6"/>
    </row>
    <row r="21" spans="1:17" s="1" customFormat="1" ht="13.5" customHeight="1">
      <c r="A21" s="1" t="s">
        <v>13</v>
      </c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4">
        <v>7</v>
      </c>
      <c r="I21" s="44">
        <v>8</v>
      </c>
      <c r="J21" s="44">
        <v>9</v>
      </c>
      <c r="K21"/>
      <c r="L21"/>
      <c r="M21"/>
      <c r="O21" s="19"/>
      <c r="P21" s="19"/>
      <c r="Q21" s="19"/>
    </row>
    <row r="22" spans="1:17" s="2" customFormat="1" ht="13.5" customHeight="1">
      <c r="A22" s="2" t="s">
        <v>14</v>
      </c>
      <c r="B22" s="51">
        <f aca="true" t="shared" si="0" ref="B22:J22">B23/2</f>
        <v>2.2622591649278943</v>
      </c>
      <c r="C22" s="52">
        <f t="shared" si="0"/>
        <v>3.918347812286537</v>
      </c>
      <c r="D22" s="52">
        <f t="shared" si="0"/>
        <v>6.78677749260664</v>
      </c>
      <c r="E22" s="53">
        <f t="shared" si="0"/>
        <v>11.755043391610643</v>
      </c>
      <c r="F22" s="53">
        <f t="shared" si="0"/>
        <v>20.360332223106017</v>
      </c>
      <c r="G22" s="53">
        <f t="shared" si="0"/>
        <v>35.26512895310992</v>
      </c>
      <c r="H22" s="53">
        <f t="shared" si="0"/>
        <v>61.08099032106532</v>
      </c>
      <c r="I22" s="53">
        <f t="shared" si="0"/>
        <v>105.79535387285641</v>
      </c>
      <c r="J22" s="53">
        <f t="shared" si="0"/>
        <v>183.242799560693</v>
      </c>
      <c r="K22"/>
      <c r="L22"/>
      <c r="M22"/>
      <c r="N22"/>
      <c r="O22" s="6"/>
      <c r="P22" s="6"/>
      <c r="Q22" s="6"/>
    </row>
    <row r="23" spans="1:17" s="2" customFormat="1" ht="13.5" customHeight="1">
      <c r="A23" s="2" t="s">
        <v>15</v>
      </c>
      <c r="B23" s="51">
        <f>648000*ATAN(B24/L)/PI()</f>
        <v>4.5245183298557885</v>
      </c>
      <c r="C23" s="51">
        <f aca="true" t="shared" si="1" ref="C23:J23">648000*ATAN(C24/L)/PI()</f>
        <v>7.836695624573074</v>
      </c>
      <c r="D23" s="52">
        <f>SQRT(3)*C23</f>
        <v>13.57355498521328</v>
      </c>
      <c r="E23" s="53">
        <f t="shared" si="1"/>
        <v>23.510086783221286</v>
      </c>
      <c r="F23" s="53">
        <f t="shared" si="1"/>
        <v>40.720664446212034</v>
      </c>
      <c r="G23" s="53">
        <f t="shared" si="1"/>
        <v>70.53025790621984</v>
      </c>
      <c r="H23" s="53">
        <f t="shared" si="1"/>
        <v>122.16198064213064</v>
      </c>
      <c r="I23" s="53">
        <f t="shared" si="1"/>
        <v>211.59070774571282</v>
      </c>
      <c r="J23" s="53">
        <f t="shared" si="1"/>
        <v>366.485599121386</v>
      </c>
      <c r="K23"/>
      <c r="L23"/>
      <c r="M23"/>
      <c r="N23"/>
      <c r="O23" s="6"/>
      <c r="P23" s="6"/>
      <c r="Q23" s="6"/>
    </row>
    <row r="24" spans="1:14" s="6" customFormat="1" ht="13.5" customHeight="1">
      <c r="A24" s="6" t="s">
        <v>16</v>
      </c>
      <c r="B24" s="46">
        <v>0.034</v>
      </c>
      <c r="C24" s="48">
        <f>SQRT(3)*B24</f>
        <v>0.05888972745734183</v>
      </c>
      <c r="D24" s="48">
        <f>SQRT(3)*C24</f>
        <v>0.102</v>
      </c>
      <c r="E24" s="48">
        <f aca="true" t="shared" si="2" ref="E24:J24">SQRT(3)*D24</f>
        <v>0.17666918237202547</v>
      </c>
      <c r="F24" s="48">
        <f t="shared" si="2"/>
        <v>0.30599999999999994</v>
      </c>
      <c r="G24" s="48">
        <f t="shared" si="2"/>
        <v>0.5300075471160763</v>
      </c>
      <c r="H24" s="48">
        <f t="shared" si="2"/>
        <v>0.9179999999999997</v>
      </c>
      <c r="I24" s="48">
        <f t="shared" si="2"/>
        <v>1.5900226413482288</v>
      </c>
      <c r="J24" s="48">
        <f t="shared" si="2"/>
        <v>2.7539999999999987</v>
      </c>
      <c r="K24"/>
      <c r="L24"/>
      <c r="M24"/>
      <c r="N24"/>
    </row>
    <row r="25" spans="1:17" s="6" customFormat="1" ht="13.5" customHeight="1">
      <c r="A25" s="6" t="s">
        <v>126</v>
      </c>
      <c r="B25" s="46" t="s">
        <v>107</v>
      </c>
      <c r="C25" s="46" t="s">
        <v>107</v>
      </c>
      <c r="D25" s="48" t="s">
        <v>107</v>
      </c>
      <c r="E25" s="48" t="s">
        <v>107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8" t="s">
        <v>106</v>
      </c>
      <c r="K25"/>
      <c r="L25"/>
      <c r="M25"/>
      <c r="N25"/>
      <c r="O25"/>
      <c r="P25"/>
      <c r="Q25"/>
    </row>
    <row r="26" spans="1:17" s="6" customFormat="1" ht="13.5" customHeight="1">
      <c r="A26" s="6" t="s">
        <v>18</v>
      </c>
      <c r="B26" s="46">
        <f aca="true" t="shared" si="3" ref="B26:J26">B24*B28</f>
        <v>0.0204</v>
      </c>
      <c r="C26" s="46">
        <f t="shared" si="3"/>
        <v>0.03533383647440509</v>
      </c>
      <c r="D26" s="46">
        <f t="shared" si="3"/>
        <v>0.06119999999999999</v>
      </c>
      <c r="E26" s="46">
        <f t="shared" si="3"/>
        <v>0.10600150942321528</v>
      </c>
      <c r="F26" s="46">
        <f t="shared" si="3"/>
        <v>0.18359999999999996</v>
      </c>
      <c r="G26" s="46">
        <f t="shared" si="3"/>
        <v>0.3180045282696458</v>
      </c>
      <c r="H26" s="46">
        <f t="shared" si="3"/>
        <v>0.47735999999999984</v>
      </c>
      <c r="I26" s="46">
        <f t="shared" si="3"/>
        <v>0.8109115470875967</v>
      </c>
      <c r="J26" s="46">
        <f t="shared" si="3"/>
        <v>1.4871599999999994</v>
      </c>
      <c r="K26"/>
      <c r="L26"/>
      <c r="M26"/>
      <c r="N26"/>
      <c r="O26"/>
      <c r="P26"/>
      <c r="Q26"/>
    </row>
    <row r="27" spans="1:17" s="6" customFormat="1" ht="13.5" customHeight="1">
      <c r="A27" s="6" t="s">
        <v>19</v>
      </c>
      <c r="B27" s="46">
        <f aca="true" t="shared" si="4" ref="B27:J27">B24-B26</f>
        <v>0.013600000000000001</v>
      </c>
      <c r="C27" s="46">
        <f t="shared" si="4"/>
        <v>0.023555890982936735</v>
      </c>
      <c r="D27" s="46">
        <f t="shared" si="4"/>
        <v>0.0408</v>
      </c>
      <c r="E27" s="46">
        <f t="shared" si="4"/>
        <v>0.0706676729488102</v>
      </c>
      <c r="F27" s="46">
        <f t="shared" si="4"/>
        <v>0.12239999999999998</v>
      </c>
      <c r="G27" s="46">
        <f t="shared" si="4"/>
        <v>0.21200301884643052</v>
      </c>
      <c r="H27" s="46">
        <f t="shared" si="4"/>
        <v>0.44063999999999987</v>
      </c>
      <c r="I27" s="46">
        <f t="shared" si="4"/>
        <v>0.7791110942606321</v>
      </c>
      <c r="J27" s="46">
        <f t="shared" si="4"/>
        <v>1.2668399999999993</v>
      </c>
      <c r="K27"/>
      <c r="L27"/>
      <c r="M27"/>
      <c r="N27"/>
      <c r="O27"/>
      <c r="P27"/>
      <c r="Q27"/>
    </row>
    <row r="28" spans="1:17" s="2" customFormat="1" ht="13.5" customHeight="1">
      <c r="A28" s="2" t="s">
        <v>20</v>
      </c>
      <c r="B28" s="51">
        <v>0.6</v>
      </c>
      <c r="C28" s="51">
        <v>0.6</v>
      </c>
      <c r="D28" s="51">
        <v>0.6</v>
      </c>
      <c r="E28" s="51">
        <v>0.6</v>
      </c>
      <c r="F28" s="51">
        <v>0.6</v>
      </c>
      <c r="G28" s="51">
        <v>0.6</v>
      </c>
      <c r="H28" s="51">
        <v>0.52</v>
      </c>
      <c r="I28" s="51">
        <v>0.51</v>
      </c>
      <c r="J28" s="51">
        <v>0.54</v>
      </c>
      <c r="K28"/>
      <c r="L28"/>
      <c r="M28"/>
      <c r="N28"/>
      <c r="O28" s="6"/>
      <c r="P28" s="6"/>
      <c r="Q28" s="6"/>
    </row>
    <row r="29" spans="1:17" ht="13.5" customHeight="1">
      <c r="A29" t="s">
        <v>119</v>
      </c>
      <c r="B29" s="49">
        <v>1.2</v>
      </c>
      <c r="C29" s="53">
        <v>2.1</v>
      </c>
      <c r="D29" s="53">
        <v>3.6</v>
      </c>
      <c r="E29" s="53">
        <v>6.2</v>
      </c>
      <c r="F29" s="53">
        <v>10.7</v>
      </c>
      <c r="G29" s="53">
        <v>18.6</v>
      </c>
      <c r="H29" s="53">
        <v>6.2</v>
      </c>
      <c r="I29" s="53">
        <v>6.2</v>
      </c>
      <c r="J29" s="53">
        <v>30</v>
      </c>
      <c r="O29" s="6"/>
      <c r="P29" s="6"/>
      <c r="Q29" s="6"/>
    </row>
    <row r="30" spans="1:13" s="2" customFormat="1" ht="12.75">
      <c r="A30" s="2" t="s">
        <v>22</v>
      </c>
      <c r="B30" s="49">
        <f aca="true" t="shared" si="5" ref="B30:J30">180*ATAN(B26/B29)/PI()</f>
        <v>0.9739344366011552</v>
      </c>
      <c r="C30" s="53">
        <f t="shared" si="5"/>
        <v>0.9639469960260774</v>
      </c>
      <c r="D30" s="53">
        <f t="shared" si="5"/>
        <v>0.973934436601155</v>
      </c>
      <c r="E30" s="53">
        <f t="shared" si="5"/>
        <v>0.9794915232409609</v>
      </c>
      <c r="F30" s="53">
        <f t="shared" si="5"/>
        <v>0.9830348496987059</v>
      </c>
      <c r="G30" s="53">
        <f t="shared" si="5"/>
        <v>0.9794915232409609</v>
      </c>
      <c r="H30" s="53">
        <f t="shared" si="5"/>
        <v>4.402719299543082</v>
      </c>
      <c r="I30" s="53">
        <f t="shared" si="5"/>
        <v>7.451542133947493</v>
      </c>
      <c r="J30" s="53">
        <f t="shared" si="5"/>
        <v>2.837943265385989</v>
      </c>
      <c r="K30"/>
      <c r="L30"/>
      <c r="M30"/>
    </row>
    <row r="31" spans="2:13" s="2" customFormat="1" ht="13.5" customHeight="1">
      <c r="B31" s="49"/>
      <c r="C31" s="49"/>
      <c r="D31" s="49"/>
      <c r="E31" s="49"/>
      <c r="F31" s="49"/>
      <c r="G31" s="49"/>
      <c r="H31" s="49"/>
      <c r="I31" s="49"/>
      <c r="J31" s="49"/>
      <c r="K31"/>
      <c r="L31"/>
      <c r="M31"/>
    </row>
    <row r="32" spans="1:13" s="2" customFormat="1" ht="13.5" customHeight="1">
      <c r="A32" s="2" t="s">
        <v>117</v>
      </c>
      <c r="B32" s="45" t="s">
        <v>125</v>
      </c>
      <c r="C32" s="45" t="s">
        <v>83</v>
      </c>
      <c r="D32" s="45" t="s">
        <v>83</v>
      </c>
      <c r="E32" s="45" t="s">
        <v>83</v>
      </c>
      <c r="F32" s="45" t="s">
        <v>83</v>
      </c>
      <c r="G32" s="45" t="s">
        <v>83</v>
      </c>
      <c r="H32" s="45" t="s">
        <v>83</v>
      </c>
      <c r="I32" s="45" t="s">
        <v>83</v>
      </c>
      <c r="J32" s="45" t="s">
        <v>83</v>
      </c>
      <c r="K32"/>
      <c r="L32"/>
      <c r="M32"/>
    </row>
    <row r="33" spans="1:10" ht="13.5" customHeight="1">
      <c r="A33" t="s">
        <v>118</v>
      </c>
      <c r="B33" s="54">
        <v>0.0102</v>
      </c>
      <c r="C33" s="54">
        <v>0.0193</v>
      </c>
      <c r="D33" s="54">
        <v>0.0193</v>
      </c>
      <c r="E33" s="54">
        <v>0.0193</v>
      </c>
      <c r="F33" s="54">
        <v>0.0187</v>
      </c>
      <c r="G33" s="54">
        <v>0.0187</v>
      </c>
      <c r="H33" s="54">
        <v>0.0187</v>
      </c>
      <c r="I33" s="54">
        <v>0.0187</v>
      </c>
      <c r="J33" s="54">
        <v>0.0187</v>
      </c>
    </row>
    <row r="34" spans="1:10" s="7" customFormat="1" ht="13.5" customHeight="1">
      <c r="A34" s="7" t="s">
        <v>121</v>
      </c>
      <c r="B34" s="46">
        <v>0.015</v>
      </c>
      <c r="C34" s="46">
        <v>0.0254</v>
      </c>
      <c r="D34" s="54">
        <v>0.0508</v>
      </c>
      <c r="E34" s="54">
        <v>0.0762</v>
      </c>
      <c r="F34" s="49">
        <v>10.7</v>
      </c>
      <c r="G34" s="49">
        <v>18.6</v>
      </c>
      <c r="H34" s="49">
        <v>6.2</v>
      </c>
      <c r="I34" s="49">
        <v>6.2</v>
      </c>
      <c r="J34" s="49">
        <v>30</v>
      </c>
    </row>
    <row r="35" spans="1:13" s="2" customFormat="1" ht="13.5" customHeight="1">
      <c r="A35" s="2" t="s">
        <v>128</v>
      </c>
      <c r="B35" s="55">
        <v>75</v>
      </c>
      <c r="C35" s="55">
        <v>83</v>
      </c>
      <c r="D35" s="55">
        <v>65</v>
      </c>
      <c r="E35" s="55">
        <f>E$29/(E$34+0.0026)</f>
        <v>78.68020304568527</v>
      </c>
      <c r="F35" s="55">
        <f>F$29/F$34</f>
        <v>1</v>
      </c>
      <c r="G35" s="55">
        <f>G$29/G$34</f>
        <v>1</v>
      </c>
      <c r="H35" s="55">
        <f>H$29/H$34</f>
        <v>1</v>
      </c>
      <c r="I35" s="55">
        <f>I$29/I$34</f>
        <v>1</v>
      </c>
      <c r="J35" s="55">
        <f>J$29/J$34</f>
        <v>1</v>
      </c>
      <c r="K35"/>
      <c r="L35"/>
      <c r="M35"/>
    </row>
    <row r="36" spans="1:10" ht="13.5" customHeight="1">
      <c r="A36" t="s">
        <v>23</v>
      </c>
      <c r="B36" s="45">
        <v>90</v>
      </c>
      <c r="C36" s="45">
        <v>90</v>
      </c>
      <c r="D36" s="45">
        <v>90</v>
      </c>
      <c r="E36" s="45">
        <v>90</v>
      </c>
      <c r="F36" s="45">
        <v>90</v>
      </c>
      <c r="G36" s="45">
        <v>90</v>
      </c>
      <c r="H36" s="45">
        <v>90</v>
      </c>
      <c r="I36" s="45">
        <v>90</v>
      </c>
      <c r="J36" s="45">
        <v>90</v>
      </c>
    </row>
    <row r="37" spans="1:10" ht="13.5" customHeight="1">
      <c r="A37" t="s">
        <v>116</v>
      </c>
      <c r="B37" s="45">
        <v>110</v>
      </c>
      <c r="C37" s="45">
        <v>110</v>
      </c>
      <c r="D37" s="45">
        <v>110</v>
      </c>
      <c r="E37" s="45">
        <v>110</v>
      </c>
      <c r="F37" s="45">
        <v>110</v>
      </c>
      <c r="G37" s="45">
        <v>110</v>
      </c>
      <c r="H37" s="45">
        <v>110</v>
      </c>
      <c r="I37" s="45">
        <v>110</v>
      </c>
      <c r="J37" s="45">
        <v>110</v>
      </c>
    </row>
    <row r="38" spans="1:10" ht="13.5" customHeight="1">
      <c r="A38" t="s">
        <v>86</v>
      </c>
      <c r="B38" s="45">
        <v>10</v>
      </c>
      <c r="C38" s="45">
        <v>10</v>
      </c>
      <c r="D38" s="45">
        <v>10</v>
      </c>
      <c r="E38" s="45">
        <v>10</v>
      </c>
      <c r="F38" s="45">
        <v>10</v>
      </c>
      <c r="G38" s="45">
        <v>10</v>
      </c>
      <c r="H38" s="45">
        <v>10</v>
      </c>
      <c r="I38" s="45">
        <v>10</v>
      </c>
      <c r="J38" s="45">
        <v>10</v>
      </c>
    </row>
    <row r="39" spans="1:10" ht="13.5" customHeight="1">
      <c r="A39" t="s">
        <v>103</v>
      </c>
      <c r="B39" s="45" t="s">
        <v>125</v>
      </c>
      <c r="C39" s="45" t="s">
        <v>83</v>
      </c>
      <c r="D39" s="45" t="s">
        <v>83</v>
      </c>
      <c r="E39" s="45" t="s">
        <v>83</v>
      </c>
      <c r="F39" s="45" t="s">
        <v>123</v>
      </c>
      <c r="G39" s="45" t="s">
        <v>123</v>
      </c>
      <c r="H39" s="45" t="s">
        <v>123</v>
      </c>
      <c r="I39" s="45" t="s">
        <v>123</v>
      </c>
      <c r="J39" s="45" t="s">
        <v>123</v>
      </c>
    </row>
    <row r="40" spans="1:10" ht="13.5" customHeight="1">
      <c r="A40" t="s">
        <v>124</v>
      </c>
      <c r="B40" s="49">
        <v>1.2</v>
      </c>
      <c r="C40" s="49">
        <v>2.1</v>
      </c>
      <c r="D40" s="49">
        <f>D$29</f>
        <v>3.6</v>
      </c>
      <c r="E40" s="49">
        <f>E$29</f>
        <v>6.2</v>
      </c>
      <c r="F40" s="49">
        <f>F$29+10</f>
        <v>20.7</v>
      </c>
      <c r="G40" s="49">
        <f>G$29+10</f>
        <v>28.6</v>
      </c>
      <c r="H40" s="49">
        <f>H$29+10</f>
        <v>16.2</v>
      </c>
      <c r="I40" s="49">
        <f>I$29+10</f>
        <v>16.2</v>
      </c>
      <c r="J40" s="49">
        <f>J$29+10</f>
        <v>40</v>
      </c>
    </row>
    <row r="41" spans="1:10" ht="13.5" customHeight="1">
      <c r="A41" t="s">
        <v>115</v>
      </c>
      <c r="B41" s="54">
        <f>B33</f>
        <v>0.0102</v>
      </c>
      <c r="C41" s="54">
        <f>C33</f>
        <v>0.0193</v>
      </c>
      <c r="D41" s="54">
        <f>D33</f>
        <v>0.0193</v>
      </c>
      <c r="E41" s="54">
        <f>E33</f>
        <v>0.0193</v>
      </c>
      <c r="F41" s="54">
        <v>0.0027</v>
      </c>
      <c r="G41" s="54">
        <v>0.0027</v>
      </c>
      <c r="H41" s="54">
        <v>0.0027</v>
      </c>
      <c r="I41" s="54">
        <v>0.0027</v>
      </c>
      <c r="J41" s="54">
        <v>0.0027</v>
      </c>
    </row>
    <row r="42" spans="1:10" ht="13.5" customHeight="1">
      <c r="A42" t="s">
        <v>81</v>
      </c>
      <c r="B42" s="45" t="s">
        <v>84</v>
      </c>
      <c r="C42" s="45" t="s">
        <v>84</v>
      </c>
      <c r="D42" s="45" t="s">
        <v>84</v>
      </c>
      <c r="E42" s="45" t="s">
        <v>84</v>
      </c>
      <c r="F42" s="45" t="s">
        <v>85</v>
      </c>
      <c r="G42" s="45" t="s">
        <v>85</v>
      </c>
      <c r="H42" s="45" t="s">
        <v>85</v>
      </c>
      <c r="I42" s="45" t="s">
        <v>85</v>
      </c>
      <c r="J42" s="45" t="s">
        <v>85</v>
      </c>
    </row>
    <row r="43" spans="1:10" ht="12.75">
      <c r="A43" t="s">
        <v>129</v>
      </c>
      <c r="B43" s="56">
        <v>75</v>
      </c>
      <c r="C43" s="56">
        <v>240</v>
      </c>
      <c r="D43" s="55">
        <v>394</v>
      </c>
      <c r="E43" s="55">
        <v>679</v>
      </c>
      <c r="F43" s="56">
        <v>1006</v>
      </c>
      <c r="G43" s="56">
        <v>1637</v>
      </c>
      <c r="H43" s="56">
        <v>708</v>
      </c>
      <c r="I43" s="56">
        <v>723</v>
      </c>
      <c r="J43" s="56">
        <v>2700</v>
      </c>
    </row>
    <row r="44" spans="2:10" ht="12.75">
      <c r="B44" s="56"/>
      <c r="C44" s="56"/>
      <c r="D44" s="55"/>
      <c r="E44" s="55"/>
      <c r="F44" s="56"/>
      <c r="G44" s="56"/>
      <c r="H44" s="56"/>
      <c r="I44" s="56"/>
      <c r="J44" s="56"/>
    </row>
    <row r="45" spans="1:10" ht="12.75">
      <c r="A45" s="14" t="s">
        <v>130</v>
      </c>
      <c r="B45" s="57">
        <f>SUM(B$43:J$43)</f>
        <v>8162</v>
      </c>
      <c r="C45" s="56"/>
      <c r="D45" s="55"/>
      <c r="E45" s="55"/>
      <c r="F45" s="56"/>
      <c r="G45" s="56"/>
      <c r="H45" s="56"/>
      <c r="I45" s="56"/>
      <c r="J45" s="56"/>
    </row>
    <row r="46" spans="2:11" ht="13.5" customHeight="1">
      <c r="B46" s="55"/>
      <c r="C46" s="55"/>
      <c r="D46" s="55"/>
      <c r="E46" s="15"/>
      <c r="F46" s="55"/>
      <c r="G46" s="55"/>
      <c r="H46" s="55"/>
      <c r="I46" s="55"/>
      <c r="J46" s="55"/>
      <c r="K46" s="39"/>
    </row>
    <row r="47" s="15" customFormat="1" ht="13.5" customHeight="1">
      <c r="B47" s="22"/>
    </row>
    <row r="48" spans="1:17" s="7" customFormat="1" ht="13.5" customHeight="1">
      <c r="A48" s="7" t="s">
        <v>34</v>
      </c>
      <c r="B48" s="58">
        <v>0.0015</v>
      </c>
      <c r="C48" s="59">
        <v>0.0025</v>
      </c>
      <c r="D48" s="47">
        <v>0.004</v>
      </c>
      <c r="E48" s="47">
        <v>0.005</v>
      </c>
      <c r="F48" s="47">
        <v>0.006</v>
      </c>
      <c r="G48" s="47">
        <v>0.008</v>
      </c>
      <c r="H48" s="47">
        <v>0.012</v>
      </c>
      <c r="I48" s="47">
        <v>0.017</v>
      </c>
      <c r="J48" s="47">
        <v>0.025</v>
      </c>
      <c r="K48" s="6"/>
      <c r="L48" s="6"/>
      <c r="M48" s="6"/>
      <c r="N48" s="6"/>
      <c r="O48" s="6"/>
      <c r="P48" s="6"/>
      <c r="Q48" s="6"/>
    </row>
    <row r="49" spans="1:10" s="6" customFormat="1" ht="13.5" customHeight="1">
      <c r="A49" s="6" t="s">
        <v>108</v>
      </c>
      <c r="B49" s="60">
        <f aca="true" t="shared" si="6" ref="B49:J49">1-40*(B$48/B$24)^2</f>
        <v>0.9221453287197232</v>
      </c>
      <c r="C49" s="60">
        <f t="shared" si="6"/>
        <v>0.9279123414071511</v>
      </c>
      <c r="D49" s="60">
        <f t="shared" si="6"/>
        <v>0.9384851980007689</v>
      </c>
      <c r="E49" s="60">
        <f t="shared" si="6"/>
        <v>0.9679610406254004</v>
      </c>
      <c r="F49" s="60">
        <f t="shared" si="6"/>
        <v>0.9846212995001923</v>
      </c>
      <c r="G49" s="60">
        <f t="shared" si="6"/>
        <v>0.9908866960001139</v>
      </c>
      <c r="H49" s="60">
        <f t="shared" si="6"/>
        <v>0.9931650220000854</v>
      </c>
      <c r="I49" s="60">
        <f t="shared" si="6"/>
        <v>0.9954275262917238</v>
      </c>
      <c r="J49" s="60">
        <f t="shared" si="6"/>
        <v>0.9967038107639301</v>
      </c>
    </row>
    <row r="50" spans="2:10" s="6" customFormat="1" ht="13.5" customHeight="1">
      <c r="B50" s="60"/>
      <c r="C50" s="60"/>
      <c r="D50" s="60"/>
      <c r="E50" s="60"/>
      <c r="F50" s="60"/>
      <c r="G50" s="60"/>
      <c r="H50" s="60"/>
      <c r="I50" s="60"/>
      <c r="J50" s="60"/>
    </row>
    <row r="51" spans="1:17" s="5" customFormat="1" ht="13.5" customHeight="1">
      <c r="A51" s="5" t="s">
        <v>37</v>
      </c>
      <c r="B51" s="61">
        <v>5E-05</v>
      </c>
      <c r="C51" s="62">
        <v>0.0001</v>
      </c>
      <c r="D51" s="62">
        <v>0.0002</v>
      </c>
      <c r="E51" s="62">
        <v>0.00025</v>
      </c>
      <c r="F51" s="62">
        <v>0.0003</v>
      </c>
      <c r="G51" s="62">
        <v>0.00045</v>
      </c>
      <c r="H51" s="62">
        <v>0.0007</v>
      </c>
      <c r="I51" s="63">
        <v>0.001</v>
      </c>
      <c r="J51" s="63">
        <v>0.0015</v>
      </c>
      <c r="N51" s="6"/>
      <c r="O51" s="6"/>
      <c r="P51" s="6"/>
      <c r="Q51" s="6"/>
    </row>
    <row r="52" spans="1:17" s="2" customFormat="1" ht="13.5" customHeight="1">
      <c r="A52" s="2" t="s">
        <v>111</v>
      </c>
      <c r="B52" s="60">
        <f aca="true" t="shared" si="7" ref="B52:J52">1-0.5*(0.5*PI()*$B$19*B$51/B$24)^2</f>
        <v>0.9865504228519973</v>
      </c>
      <c r="C52" s="60">
        <f t="shared" si="7"/>
        <v>0.9820672304693298</v>
      </c>
      <c r="D52" s="60">
        <f t="shared" si="7"/>
        <v>0.9760896406257731</v>
      </c>
      <c r="E52" s="60">
        <f t="shared" si="7"/>
        <v>0.9875466878259235</v>
      </c>
      <c r="F52" s="60">
        <f t="shared" si="7"/>
        <v>0.9940224101564432</v>
      </c>
      <c r="G52" s="60">
        <f t="shared" si="7"/>
        <v>0.9955168076173324</v>
      </c>
      <c r="H52" s="60">
        <f t="shared" si="7"/>
        <v>0.9963839271316756</v>
      </c>
      <c r="I52" s="60">
        <f t="shared" si="7"/>
        <v>0.9975400864841331</v>
      </c>
      <c r="J52" s="60">
        <f t="shared" si="7"/>
        <v>0.9981550648630998</v>
      </c>
      <c r="N52" s="6"/>
      <c r="O52" s="6"/>
      <c r="P52" s="6"/>
      <c r="Q52" s="6"/>
    </row>
    <row r="53" spans="2:17" s="2" customFormat="1" ht="13.5" customHeight="1">
      <c r="B53" s="60"/>
      <c r="C53" s="60"/>
      <c r="D53" s="60"/>
      <c r="E53" s="60"/>
      <c r="F53" s="60"/>
      <c r="G53" s="60"/>
      <c r="H53" s="60"/>
      <c r="I53" s="60"/>
      <c r="J53" s="60"/>
      <c r="N53" s="6"/>
      <c r="O53" s="6"/>
      <c r="P53" s="6"/>
      <c r="Q53" s="6"/>
    </row>
    <row r="54" spans="1:17" ht="13.5" customHeight="1">
      <c r="A54" t="s">
        <v>39</v>
      </c>
      <c r="B54" s="60">
        <f>20/60</f>
        <v>0.3333333333333333</v>
      </c>
      <c r="C54" s="15">
        <v>0.5</v>
      </c>
      <c r="D54" s="15">
        <v>0.6</v>
      </c>
      <c r="E54" s="15">
        <v>1</v>
      </c>
      <c r="F54" s="15">
        <v>1.6</v>
      </c>
      <c r="G54" s="15">
        <v>2.5</v>
      </c>
      <c r="H54" s="15">
        <v>4</v>
      </c>
      <c r="I54" s="15">
        <v>6</v>
      </c>
      <c r="J54" s="15">
        <v>10</v>
      </c>
      <c r="N54" s="6"/>
      <c r="O54" s="6"/>
      <c r="P54" s="6"/>
      <c r="Q54" s="6"/>
    </row>
    <row r="55" spans="1:17" s="2" customFormat="1" ht="13.5" customHeight="1">
      <c r="A55" s="2" t="s">
        <v>112</v>
      </c>
      <c r="B55" s="60">
        <f aca="true" t="shared" si="8" ref="B55:J55">1-0.5*(0.5*PI()*B$54*PI()/60/180*$B$19/B$24)^2</f>
        <v>0.9494200557031254</v>
      </c>
      <c r="C55" s="60">
        <f t="shared" si="8"/>
        <v>0.962065041777344</v>
      </c>
      <c r="D55" s="60">
        <f t="shared" si="8"/>
        <v>0.9817912200531251</v>
      </c>
      <c r="E55" s="60">
        <f t="shared" si="8"/>
        <v>0.9831400185677084</v>
      </c>
      <c r="F55" s="60">
        <f t="shared" si="8"/>
        <v>0.9856128158444445</v>
      </c>
      <c r="G55" s="60">
        <f t="shared" si="8"/>
        <v>0.9882916795609087</v>
      </c>
      <c r="H55" s="60">
        <f t="shared" si="8"/>
        <v>0.9900088998919754</v>
      </c>
      <c r="I55" s="60">
        <f t="shared" si="8"/>
        <v>0.9925066749189815</v>
      </c>
      <c r="J55" s="60">
        <f t="shared" si="8"/>
        <v>0.993061736036094</v>
      </c>
      <c r="K55" s="18"/>
      <c r="L55" s="18"/>
      <c r="M55" s="18"/>
      <c r="N55" s="6"/>
      <c r="O55" s="6"/>
      <c r="P55" s="6"/>
      <c r="Q55" s="6"/>
    </row>
    <row r="56" spans="2:17" s="2" customFormat="1" ht="13.5" customHeight="1">
      <c r="B56" s="60"/>
      <c r="C56" s="60"/>
      <c r="D56" s="60"/>
      <c r="E56" s="60"/>
      <c r="F56" s="60"/>
      <c r="G56" s="60"/>
      <c r="H56" s="60"/>
      <c r="I56" s="60"/>
      <c r="J56" s="60"/>
      <c r="K56" s="18"/>
      <c r="L56" s="18"/>
      <c r="M56" s="18"/>
      <c r="N56" s="6"/>
      <c r="O56" s="6"/>
      <c r="P56" s="6"/>
      <c r="Q56" s="6"/>
    </row>
    <row r="57" spans="1:17" ht="13.5" customHeight="1">
      <c r="A57" t="s">
        <v>110</v>
      </c>
      <c r="B57" s="22">
        <v>0.426</v>
      </c>
      <c r="C57" s="22">
        <v>0.426</v>
      </c>
      <c r="D57" s="22">
        <v>0.426</v>
      </c>
      <c r="E57" s="22">
        <v>0.426</v>
      </c>
      <c r="F57" s="22">
        <v>0.426</v>
      </c>
      <c r="G57" s="22">
        <v>0.426</v>
      </c>
      <c r="H57" s="22">
        <v>0.426</v>
      </c>
      <c r="I57" s="22">
        <v>0.426</v>
      </c>
      <c r="J57" s="22">
        <v>0.426</v>
      </c>
      <c r="N57" s="6"/>
      <c r="O57" s="6"/>
      <c r="P57" s="6"/>
      <c r="Q57" s="6"/>
    </row>
    <row r="58" spans="1:10" s="6" customFormat="1" ht="13.5" customHeight="1">
      <c r="A58" s="6" t="s">
        <v>109</v>
      </c>
      <c r="B58" s="60">
        <f aca="true" t="shared" si="9" ref="B58:J58">1-5*(B$57/B$22)^2</f>
        <v>0.8227017332870149</v>
      </c>
      <c r="C58" s="60">
        <f t="shared" si="9"/>
        <v>0.9409005777244228</v>
      </c>
      <c r="D58" s="60">
        <f t="shared" si="9"/>
        <v>0.9803001925748076</v>
      </c>
      <c r="E58" s="60">
        <f t="shared" si="9"/>
        <v>0.9934333974743819</v>
      </c>
      <c r="F58" s="60">
        <f t="shared" si="9"/>
        <v>0.9978111324535451</v>
      </c>
      <c r="G58" s="60">
        <f t="shared" si="9"/>
        <v>0.9992703774465996</v>
      </c>
      <c r="H58" s="60">
        <f t="shared" si="9"/>
        <v>0.9997567924442844</v>
      </c>
      <c r="I58" s="60">
        <f t="shared" si="9"/>
        <v>0.999918930776846</v>
      </c>
      <c r="J58" s="60">
        <f t="shared" si="9"/>
        <v>0.9999729768876999</v>
      </c>
    </row>
    <row r="59" spans="2:10" ht="13.5" customHeight="1">
      <c r="B59" s="22"/>
      <c r="C59" s="15"/>
      <c r="D59" s="15"/>
      <c r="E59" s="15"/>
      <c r="F59" s="15"/>
      <c r="G59" s="15"/>
      <c r="H59" s="15"/>
      <c r="I59" s="15"/>
      <c r="J59" s="15"/>
    </row>
    <row r="60" spans="2:10" ht="13.5" customHeight="1">
      <c r="B60" s="22"/>
      <c r="C60" s="15"/>
      <c r="D60" s="15"/>
      <c r="E60" s="15"/>
      <c r="F60" s="15"/>
      <c r="G60" s="15"/>
      <c r="H60" s="15"/>
      <c r="I60" s="15"/>
      <c r="J60" s="15"/>
    </row>
    <row r="61" spans="1:10" ht="13.5" customHeight="1">
      <c r="A61" t="s">
        <v>47</v>
      </c>
      <c r="B61" s="22">
        <v>0.001</v>
      </c>
      <c r="C61" s="15">
        <v>0.002</v>
      </c>
      <c r="D61" s="15">
        <v>0.003</v>
      </c>
      <c r="E61" s="15">
        <v>0.003</v>
      </c>
      <c r="F61" s="15">
        <v>0.004</v>
      </c>
      <c r="G61" s="15">
        <v>0.007</v>
      </c>
      <c r="H61" s="15">
        <v>0.01</v>
      </c>
      <c r="I61" s="15">
        <v>0.01</v>
      </c>
      <c r="J61" s="15">
        <v>0.02</v>
      </c>
    </row>
    <row r="62" spans="1:10" s="7" customFormat="1" ht="13.5" customHeight="1">
      <c r="A62" s="7" t="s">
        <v>48</v>
      </c>
      <c r="B62" s="58">
        <f aca="true" t="shared" si="10" ref="B62:J62">B61/B24/2</f>
        <v>0.014705882352941176</v>
      </c>
      <c r="C62" s="58">
        <f t="shared" si="10"/>
        <v>0.01698089027028311</v>
      </c>
      <c r="D62" s="58">
        <f t="shared" si="10"/>
        <v>0.014705882352941178</v>
      </c>
      <c r="E62" s="58">
        <f t="shared" si="10"/>
        <v>0.008490445135141555</v>
      </c>
      <c r="F62" s="58">
        <f t="shared" si="10"/>
        <v>0.006535947712418302</v>
      </c>
      <c r="G62" s="58">
        <f t="shared" si="10"/>
        <v>0.0066036795495545446</v>
      </c>
      <c r="H62" s="58">
        <f t="shared" si="10"/>
        <v>0.005446623093681919</v>
      </c>
      <c r="I62" s="58">
        <f t="shared" si="10"/>
        <v>0.0031446093093116883</v>
      </c>
      <c r="J62" s="58">
        <f t="shared" si="10"/>
        <v>0.0036310820624546134</v>
      </c>
    </row>
    <row r="63" spans="1:10" ht="13.5" customHeight="1">
      <c r="A63" t="s">
        <v>49</v>
      </c>
      <c r="B63" s="22">
        <v>0.002</v>
      </c>
      <c r="C63" s="15">
        <v>0.003</v>
      </c>
      <c r="D63" s="15">
        <v>0.007</v>
      </c>
      <c r="E63" s="15">
        <v>0.01</v>
      </c>
      <c r="F63" s="15">
        <v>0.015</v>
      </c>
      <c r="G63" s="15">
        <v>0.02</v>
      </c>
      <c r="H63" s="15">
        <v>0.02</v>
      </c>
      <c r="I63" s="15">
        <v>0.02</v>
      </c>
      <c r="J63" s="15">
        <v>0.04</v>
      </c>
    </row>
    <row r="64" spans="1:10" s="7" customFormat="1" ht="13.5" customHeight="1">
      <c r="A64" s="7" t="s">
        <v>50</v>
      </c>
      <c r="B64" s="58">
        <f aca="true" t="shared" si="11" ref="B64:J64">B63/B24</f>
        <v>0.058823529411764705</v>
      </c>
      <c r="C64" s="59">
        <f t="shared" si="11"/>
        <v>0.050942670810849335</v>
      </c>
      <c r="D64" s="59">
        <f t="shared" si="11"/>
        <v>0.06862745098039216</v>
      </c>
      <c r="E64" s="59">
        <f t="shared" si="11"/>
        <v>0.05660296756761037</v>
      </c>
      <c r="F64" s="59">
        <f t="shared" si="11"/>
        <v>0.04901960784313726</v>
      </c>
      <c r="G64" s="59">
        <f t="shared" si="11"/>
        <v>0.03773531171174026</v>
      </c>
      <c r="H64" s="59">
        <f t="shared" si="11"/>
        <v>0.021786492374727677</v>
      </c>
      <c r="I64" s="59">
        <f t="shared" si="11"/>
        <v>0.012578437237246753</v>
      </c>
      <c r="J64" s="59">
        <f t="shared" si="11"/>
        <v>0.014524328249818454</v>
      </c>
    </row>
    <row r="65" spans="1:10" ht="13.5" customHeight="1">
      <c r="A65" t="s">
        <v>51</v>
      </c>
      <c r="B65" s="22">
        <v>0.0015</v>
      </c>
      <c r="C65" s="15">
        <v>0.004</v>
      </c>
      <c r="D65" s="15">
        <v>0.007</v>
      </c>
      <c r="E65" s="15">
        <v>0.01</v>
      </c>
      <c r="F65" s="15">
        <v>0.015</v>
      </c>
      <c r="G65" s="15">
        <v>0.02</v>
      </c>
      <c r="H65" s="15">
        <v>0.02</v>
      </c>
      <c r="I65" s="15">
        <v>0.02</v>
      </c>
      <c r="J65" s="15">
        <v>0.04</v>
      </c>
    </row>
    <row r="66" spans="1:10" s="7" customFormat="1" ht="13.5" customHeight="1">
      <c r="A66" s="7" t="s">
        <v>52</v>
      </c>
      <c r="B66" s="58">
        <f aca="true" t="shared" si="12" ref="B66:J66">B65/B24</f>
        <v>0.044117647058823525</v>
      </c>
      <c r="C66" s="59">
        <f t="shared" si="12"/>
        <v>0.06792356108113244</v>
      </c>
      <c r="D66" s="59">
        <f t="shared" si="12"/>
        <v>0.06862745098039216</v>
      </c>
      <c r="E66" s="59">
        <f t="shared" si="12"/>
        <v>0.05660296756761037</v>
      </c>
      <c r="F66" s="59">
        <f t="shared" si="12"/>
        <v>0.04901960784313726</v>
      </c>
      <c r="G66" s="59">
        <f t="shared" si="12"/>
        <v>0.03773531171174026</v>
      </c>
      <c r="H66" s="59">
        <f t="shared" si="12"/>
        <v>0.021786492374727677</v>
      </c>
      <c r="I66" s="59">
        <f t="shared" si="12"/>
        <v>0.012578437237246753</v>
      </c>
      <c r="J66" s="59">
        <f t="shared" si="12"/>
        <v>0.014524328249818454</v>
      </c>
    </row>
    <row r="67" spans="1:11" ht="13.5" customHeight="1">
      <c r="A67" t="s">
        <v>53</v>
      </c>
      <c r="B67" s="22">
        <v>6</v>
      </c>
      <c r="C67" s="22">
        <v>6</v>
      </c>
      <c r="D67" s="22">
        <v>6</v>
      </c>
      <c r="E67" s="22">
        <v>6</v>
      </c>
      <c r="F67" s="22">
        <v>6</v>
      </c>
      <c r="G67" s="22">
        <v>6</v>
      </c>
      <c r="H67" s="22">
        <v>6</v>
      </c>
      <c r="I67" s="22">
        <v>6</v>
      </c>
      <c r="J67" s="22">
        <v>6</v>
      </c>
      <c r="K67" s="1"/>
    </row>
    <row r="68" spans="1:13" ht="13.5" customHeight="1">
      <c r="A68" t="s">
        <v>54</v>
      </c>
      <c r="B68" s="58">
        <f aca="true" t="shared" si="13" ref="B68:J68">0.000291*B67*B29/B24</f>
        <v>0.06162352941176471</v>
      </c>
      <c r="C68" s="59">
        <f t="shared" si="13"/>
        <v>0.06226213226502006</v>
      </c>
      <c r="D68" s="59">
        <f t="shared" si="13"/>
        <v>0.061623529411764716</v>
      </c>
      <c r="E68" s="59">
        <f t="shared" si="13"/>
        <v>0.06127384445128959</v>
      </c>
      <c r="F68" s="59">
        <f t="shared" si="13"/>
        <v>0.0610529411764706</v>
      </c>
      <c r="G68" s="59">
        <f t="shared" si="13"/>
        <v>0.061273844451289604</v>
      </c>
      <c r="H68" s="59">
        <f t="shared" si="13"/>
        <v>0.011792156862745104</v>
      </c>
      <c r="I68" s="59">
        <f t="shared" si="13"/>
        <v>0.006808204939032178</v>
      </c>
      <c r="J68" s="59">
        <f t="shared" si="13"/>
        <v>0.019019607843137266</v>
      </c>
      <c r="K68" s="7"/>
      <c r="L68" s="7"/>
      <c r="M68" s="7"/>
    </row>
    <row r="69" spans="1:10" ht="13.5" customHeight="1">
      <c r="A69" t="s">
        <v>55</v>
      </c>
      <c r="B69" s="22">
        <v>8.5</v>
      </c>
      <c r="C69" s="15">
        <v>8.5</v>
      </c>
      <c r="D69" s="15">
        <v>8.5</v>
      </c>
      <c r="E69" s="15">
        <v>8.5</v>
      </c>
      <c r="F69" s="15">
        <v>8.5</v>
      </c>
      <c r="G69" s="15">
        <v>8.5</v>
      </c>
      <c r="H69" s="15">
        <v>8.5</v>
      </c>
      <c r="I69" s="15">
        <v>8.5</v>
      </c>
      <c r="J69" s="15">
        <v>8.5</v>
      </c>
    </row>
    <row r="70" spans="1:10" s="7" customFormat="1" ht="13.5" customHeight="1">
      <c r="A70" s="7" t="s">
        <v>56</v>
      </c>
      <c r="B70" s="58">
        <f aca="true" t="shared" si="14" ref="B70:J70">0.000291*B69*B29/B24</f>
        <v>0.08729999999999999</v>
      </c>
      <c r="C70" s="59">
        <f t="shared" si="14"/>
        <v>0.08820468737544508</v>
      </c>
      <c r="D70" s="59">
        <f t="shared" si="14"/>
        <v>0.0873</v>
      </c>
      <c r="E70" s="59">
        <f t="shared" si="14"/>
        <v>0.08680461297266025</v>
      </c>
      <c r="F70" s="59">
        <f t="shared" si="14"/>
        <v>0.08649166666666668</v>
      </c>
      <c r="G70" s="59">
        <f t="shared" si="14"/>
        <v>0.08680461297266026</v>
      </c>
      <c r="H70" s="59">
        <f t="shared" si="14"/>
        <v>0.01670555555555556</v>
      </c>
      <c r="I70" s="59">
        <f t="shared" si="14"/>
        <v>0.009644956996962252</v>
      </c>
      <c r="J70" s="59">
        <f t="shared" si="14"/>
        <v>0.026944444444444455</v>
      </c>
    </row>
    <row r="71" spans="1:14" s="2" customFormat="1" ht="13.5" customHeight="1">
      <c r="A71" s="2" t="s">
        <v>57</v>
      </c>
      <c r="B71" s="64">
        <v>4</v>
      </c>
      <c r="C71" s="64">
        <v>4</v>
      </c>
      <c r="D71" s="64">
        <v>4</v>
      </c>
      <c r="E71" s="64">
        <v>4</v>
      </c>
      <c r="F71" s="64">
        <v>4</v>
      </c>
      <c r="G71" s="64">
        <v>4</v>
      </c>
      <c r="H71" s="64">
        <v>4</v>
      </c>
      <c r="I71" s="64">
        <v>4</v>
      </c>
      <c r="J71" s="64">
        <v>4</v>
      </c>
      <c r="K71" s="10"/>
      <c r="L71" s="10"/>
      <c r="M71" s="10"/>
      <c r="N71"/>
    </row>
    <row r="72" spans="1:13" ht="13.5" customHeight="1">
      <c r="A72" t="s">
        <v>58</v>
      </c>
      <c r="B72" s="58">
        <f aca="true" t="shared" si="15" ref="B72:J72">0.000291*B71*B29/B24</f>
        <v>0.04108235294117647</v>
      </c>
      <c r="C72" s="59">
        <f t="shared" si="15"/>
        <v>0.04150808817668004</v>
      </c>
      <c r="D72" s="59">
        <f t="shared" si="15"/>
        <v>0.04108235294117648</v>
      </c>
      <c r="E72" s="59">
        <f t="shared" si="15"/>
        <v>0.04084922963419306</v>
      </c>
      <c r="F72" s="59">
        <f t="shared" si="15"/>
        <v>0.040701960784313734</v>
      </c>
      <c r="G72" s="59">
        <f t="shared" si="15"/>
        <v>0.04084922963419307</v>
      </c>
      <c r="H72" s="59">
        <f t="shared" si="15"/>
        <v>0.007861437908496735</v>
      </c>
      <c r="I72" s="59">
        <f t="shared" si="15"/>
        <v>0.004538803292688119</v>
      </c>
      <c r="J72" s="59">
        <f t="shared" si="15"/>
        <v>0.012679738562091512</v>
      </c>
      <c r="K72" s="7"/>
      <c r="L72" s="7"/>
      <c r="M72" s="7"/>
    </row>
    <row r="73" spans="2:10" ht="13.5" customHeight="1">
      <c r="B73" s="22"/>
      <c r="C73" s="15"/>
      <c r="D73" s="15"/>
      <c r="E73" s="15"/>
      <c r="F73" s="15"/>
      <c r="G73" s="15"/>
      <c r="H73" s="15"/>
      <c r="I73" s="15"/>
      <c r="J73" s="15"/>
    </row>
    <row r="74" spans="1:14" s="2" customFormat="1" ht="13.5" customHeight="1">
      <c r="A74" s="2" t="s">
        <v>59</v>
      </c>
      <c r="B74" s="64">
        <f aca="true" t="shared" si="16" ref="B74:J74">SQRT(B62^2+B64^2+B66^2+B68^2+B70^2+B72^2)</f>
        <v>0.13685520257041103</v>
      </c>
      <c r="C74" s="65">
        <f t="shared" si="16"/>
        <v>0.14448763914925797</v>
      </c>
      <c r="D74" s="65">
        <f t="shared" si="16"/>
        <v>0.15080525896750693</v>
      </c>
      <c r="E74" s="65">
        <f t="shared" si="16"/>
        <v>0.1394204574027569</v>
      </c>
      <c r="F74" s="65">
        <f t="shared" si="16"/>
        <v>0.13309200636947574</v>
      </c>
      <c r="G74" s="65">
        <f t="shared" si="16"/>
        <v>0.12589559361804056</v>
      </c>
      <c r="H74" s="65">
        <f t="shared" si="16"/>
        <v>0.038195562032744754</v>
      </c>
      <c r="I74" s="65">
        <f t="shared" si="16"/>
        <v>0.022052218021454233</v>
      </c>
      <c r="J74" s="65">
        <f t="shared" si="16"/>
        <v>0.041031954841205184</v>
      </c>
      <c r="N74"/>
    </row>
    <row r="75" spans="1:10" ht="13.5" customHeight="1">
      <c r="A75" t="s">
        <v>60</v>
      </c>
      <c r="B75" s="22">
        <f aca="true" t="shared" si="17" ref="B75:J75">B28</f>
        <v>0.6</v>
      </c>
      <c r="C75" s="15">
        <f t="shared" si="17"/>
        <v>0.6</v>
      </c>
      <c r="D75" s="15">
        <f t="shared" si="17"/>
        <v>0.6</v>
      </c>
      <c r="E75" s="15">
        <f t="shared" si="17"/>
        <v>0.6</v>
      </c>
      <c r="F75" s="15">
        <f t="shared" si="17"/>
        <v>0.6</v>
      </c>
      <c r="G75" s="15">
        <f t="shared" si="17"/>
        <v>0.6</v>
      </c>
      <c r="H75" s="15">
        <f t="shared" si="17"/>
        <v>0.52</v>
      </c>
      <c r="I75" s="15">
        <f t="shared" si="17"/>
        <v>0.51</v>
      </c>
      <c r="J75" s="15">
        <f t="shared" si="17"/>
        <v>0.54</v>
      </c>
    </row>
    <row r="76" spans="1:14" s="2" customFormat="1" ht="13.5" customHeight="1">
      <c r="A76" s="2" t="s">
        <v>61</v>
      </c>
      <c r="B76" s="64">
        <f aca="true" t="shared" si="18" ref="B76:J76">B75-B74</f>
        <v>0.4631447974295889</v>
      </c>
      <c r="C76" s="65">
        <f t="shared" si="18"/>
        <v>0.455512360850742</v>
      </c>
      <c r="D76" s="65">
        <f t="shared" si="18"/>
        <v>0.449194741032493</v>
      </c>
      <c r="E76" s="65">
        <f t="shared" si="18"/>
        <v>0.4605795425972431</v>
      </c>
      <c r="F76" s="65">
        <f t="shared" si="18"/>
        <v>0.46690799363052427</v>
      </c>
      <c r="G76" s="65">
        <f t="shared" si="18"/>
        <v>0.4741044063819594</v>
      </c>
      <c r="H76" s="65">
        <f t="shared" si="18"/>
        <v>0.48180443796725525</v>
      </c>
      <c r="I76" s="65">
        <f t="shared" si="18"/>
        <v>0.48794778197854577</v>
      </c>
      <c r="J76" s="65">
        <f t="shared" si="18"/>
        <v>0.49896804515879484</v>
      </c>
      <c r="N76"/>
    </row>
    <row r="77" spans="1:14" s="2" customFormat="1" ht="13.5" customHeight="1">
      <c r="A77" s="2" t="s">
        <v>62</v>
      </c>
      <c r="B77" s="60">
        <f aca="true" t="shared" si="19" ref="B77:J77">1-(COS(PI()*B76)^2)</f>
        <v>0.9866538570067873</v>
      </c>
      <c r="C77" s="47">
        <f t="shared" si="19"/>
        <v>0.9805934262331282</v>
      </c>
      <c r="D77" s="47">
        <f t="shared" si="19"/>
        <v>0.9747404250114576</v>
      </c>
      <c r="E77" s="47">
        <f t="shared" si="19"/>
        <v>0.9847411551970096</v>
      </c>
      <c r="F77" s="47">
        <f t="shared" si="19"/>
        <v>0.9892308665340406</v>
      </c>
      <c r="G77" s="47">
        <f t="shared" si="19"/>
        <v>0.9933962113149049</v>
      </c>
      <c r="H77" s="47">
        <f t="shared" si="19"/>
        <v>0.9967359439487842</v>
      </c>
      <c r="I77" s="47">
        <f t="shared" si="19"/>
        <v>0.9985670661021662</v>
      </c>
      <c r="J77" s="47">
        <f t="shared" si="19"/>
        <v>0.999989489591169</v>
      </c>
      <c r="N77"/>
    </row>
    <row r="78" spans="2:10" ht="13.5" customHeight="1" hidden="1">
      <c r="B78" s="22"/>
      <c r="C78" s="15"/>
      <c r="D78" s="15"/>
      <c r="E78" s="15"/>
      <c r="F78" s="15"/>
      <c r="G78" s="15"/>
      <c r="H78" s="15"/>
      <c r="I78" s="15"/>
      <c r="J78" s="15"/>
    </row>
    <row r="79" spans="2:10" ht="13.5" customHeight="1" hidden="1">
      <c r="B79" s="22"/>
      <c r="C79" s="15"/>
      <c r="D79" s="15"/>
      <c r="E79" s="15"/>
      <c r="F79" s="15"/>
      <c r="G79" s="15"/>
      <c r="H79" s="15"/>
      <c r="I79" s="15"/>
      <c r="J79" s="15"/>
    </row>
    <row r="80" spans="2:10" ht="13.5" customHeight="1" hidden="1">
      <c r="B80" s="22"/>
      <c r="C80" s="15"/>
      <c r="D80" s="15"/>
      <c r="E80" s="15"/>
      <c r="F80" s="15"/>
      <c r="G80" s="15"/>
      <c r="H80" s="15"/>
      <c r="I80" s="15"/>
      <c r="J80" s="15"/>
    </row>
    <row r="81" spans="2:10" ht="13.5" customHeight="1" hidden="1">
      <c r="B81" s="22"/>
      <c r="C81" s="15"/>
      <c r="D81" s="15"/>
      <c r="E81" s="15"/>
      <c r="F81" s="15"/>
      <c r="G81" s="15"/>
      <c r="H81" s="15"/>
      <c r="I81" s="15"/>
      <c r="J81" s="15"/>
    </row>
    <row r="82" spans="1:10" ht="13.5" customHeight="1" hidden="1">
      <c r="A82" t="s">
        <v>47</v>
      </c>
      <c r="B82" s="22">
        <f aca="true" t="shared" si="20" ref="B82:J82">B61</f>
        <v>0.001</v>
      </c>
      <c r="C82" s="15">
        <f t="shared" si="20"/>
        <v>0.002</v>
      </c>
      <c r="D82" s="15">
        <f t="shared" si="20"/>
        <v>0.003</v>
      </c>
      <c r="E82" s="15">
        <f t="shared" si="20"/>
        <v>0.003</v>
      </c>
      <c r="F82" s="15">
        <f t="shared" si="20"/>
        <v>0.004</v>
      </c>
      <c r="G82" s="15">
        <f t="shared" si="20"/>
        <v>0.007</v>
      </c>
      <c r="H82" s="15">
        <f t="shared" si="20"/>
        <v>0.01</v>
      </c>
      <c r="I82" s="15">
        <f t="shared" si="20"/>
        <v>0.01</v>
      </c>
      <c r="J82" s="15">
        <f t="shared" si="20"/>
        <v>0.02</v>
      </c>
    </row>
    <row r="83" spans="1:14" s="2" customFormat="1" ht="13.5" customHeight="1" hidden="1">
      <c r="A83" s="2" t="s">
        <v>48</v>
      </c>
      <c r="B83" s="64">
        <f aca="true" t="shared" si="21" ref="B83:J83">B62</f>
        <v>0.014705882352941176</v>
      </c>
      <c r="C83" s="65">
        <f t="shared" si="21"/>
        <v>0.01698089027028311</v>
      </c>
      <c r="D83" s="65">
        <f t="shared" si="21"/>
        <v>0.014705882352941178</v>
      </c>
      <c r="E83" s="65">
        <f t="shared" si="21"/>
        <v>0.008490445135141555</v>
      </c>
      <c r="F83" s="65">
        <f t="shared" si="21"/>
        <v>0.006535947712418302</v>
      </c>
      <c r="G83" s="65">
        <f t="shared" si="21"/>
        <v>0.0066036795495545446</v>
      </c>
      <c r="H83" s="65">
        <f t="shared" si="21"/>
        <v>0.005446623093681919</v>
      </c>
      <c r="I83" s="65">
        <f t="shared" si="21"/>
        <v>0.0031446093093116883</v>
      </c>
      <c r="J83" s="65">
        <f t="shared" si="21"/>
        <v>0.0036310820624546134</v>
      </c>
      <c r="N83"/>
    </row>
    <row r="84" spans="1:10" ht="13.5" customHeight="1" hidden="1">
      <c r="A84" t="s">
        <v>49</v>
      </c>
      <c r="B84" s="22">
        <f aca="true" t="shared" si="22" ref="B84:J84">B63</f>
        <v>0.002</v>
      </c>
      <c r="C84" s="15">
        <f t="shared" si="22"/>
        <v>0.003</v>
      </c>
      <c r="D84" s="15">
        <f t="shared" si="22"/>
        <v>0.007</v>
      </c>
      <c r="E84" s="15">
        <f t="shared" si="22"/>
        <v>0.01</v>
      </c>
      <c r="F84" s="15">
        <f t="shared" si="22"/>
        <v>0.015</v>
      </c>
      <c r="G84" s="15">
        <f t="shared" si="22"/>
        <v>0.02</v>
      </c>
      <c r="H84" s="15">
        <f t="shared" si="22"/>
        <v>0.02</v>
      </c>
      <c r="I84" s="15">
        <f t="shared" si="22"/>
        <v>0.02</v>
      </c>
      <c r="J84" s="15">
        <f t="shared" si="22"/>
        <v>0.04</v>
      </c>
    </row>
    <row r="85" spans="1:14" s="2" customFormat="1" ht="13.5" customHeight="1" hidden="1">
      <c r="A85" s="2" t="s">
        <v>50</v>
      </c>
      <c r="B85" s="64">
        <f aca="true" t="shared" si="23" ref="B85:J85">B64</f>
        <v>0.058823529411764705</v>
      </c>
      <c r="C85" s="65">
        <f t="shared" si="23"/>
        <v>0.050942670810849335</v>
      </c>
      <c r="D85" s="65">
        <f t="shared" si="23"/>
        <v>0.06862745098039216</v>
      </c>
      <c r="E85" s="65">
        <f t="shared" si="23"/>
        <v>0.05660296756761037</v>
      </c>
      <c r="F85" s="65">
        <f t="shared" si="23"/>
        <v>0.04901960784313726</v>
      </c>
      <c r="G85" s="65">
        <f t="shared" si="23"/>
        <v>0.03773531171174026</v>
      </c>
      <c r="H85" s="65">
        <f t="shared" si="23"/>
        <v>0.021786492374727677</v>
      </c>
      <c r="I85" s="65">
        <f t="shared" si="23"/>
        <v>0.012578437237246753</v>
      </c>
      <c r="J85" s="65">
        <f t="shared" si="23"/>
        <v>0.014524328249818454</v>
      </c>
      <c r="N85"/>
    </row>
    <row r="86" spans="1:10" ht="13.5" customHeight="1" hidden="1">
      <c r="A86" t="s">
        <v>51</v>
      </c>
      <c r="B86" s="22">
        <f aca="true" t="shared" si="24" ref="B86:J86">B65</f>
        <v>0.0015</v>
      </c>
      <c r="C86" s="15">
        <f t="shared" si="24"/>
        <v>0.004</v>
      </c>
      <c r="D86" s="15">
        <f t="shared" si="24"/>
        <v>0.007</v>
      </c>
      <c r="E86" s="15">
        <f t="shared" si="24"/>
        <v>0.01</v>
      </c>
      <c r="F86" s="15">
        <f t="shared" si="24"/>
        <v>0.015</v>
      </c>
      <c r="G86" s="15">
        <f t="shared" si="24"/>
        <v>0.02</v>
      </c>
      <c r="H86" s="15">
        <f t="shared" si="24"/>
        <v>0.02</v>
      </c>
      <c r="I86" s="15">
        <f t="shared" si="24"/>
        <v>0.02</v>
      </c>
      <c r="J86" s="15">
        <f t="shared" si="24"/>
        <v>0.04</v>
      </c>
    </row>
    <row r="87" spans="1:14" s="2" customFormat="1" ht="13.5" customHeight="1" hidden="1">
      <c r="A87" s="2" t="s">
        <v>52</v>
      </c>
      <c r="B87" s="64">
        <f aca="true" t="shared" si="25" ref="B87:J87">B66</f>
        <v>0.044117647058823525</v>
      </c>
      <c r="C87" s="65">
        <f t="shared" si="25"/>
        <v>0.06792356108113244</v>
      </c>
      <c r="D87" s="65">
        <f t="shared" si="25"/>
        <v>0.06862745098039216</v>
      </c>
      <c r="E87" s="65">
        <f t="shared" si="25"/>
        <v>0.05660296756761037</v>
      </c>
      <c r="F87" s="65">
        <f t="shared" si="25"/>
        <v>0.04901960784313726</v>
      </c>
      <c r="G87" s="65">
        <f t="shared" si="25"/>
        <v>0.03773531171174026</v>
      </c>
      <c r="H87" s="65">
        <f t="shared" si="25"/>
        <v>0.021786492374727677</v>
      </c>
      <c r="I87" s="65">
        <f t="shared" si="25"/>
        <v>0.012578437237246753</v>
      </c>
      <c r="J87" s="65">
        <f t="shared" si="25"/>
        <v>0.014524328249818454</v>
      </c>
      <c r="N87"/>
    </row>
    <row r="88" spans="1:10" ht="13.5" customHeight="1" hidden="1">
      <c r="A88" t="s">
        <v>64</v>
      </c>
      <c r="B88" s="22">
        <f aca="true" t="shared" si="26" ref="B88:J88">B67</f>
        <v>6</v>
      </c>
      <c r="C88" s="15">
        <f t="shared" si="26"/>
        <v>6</v>
      </c>
      <c r="D88" s="15">
        <f t="shared" si="26"/>
        <v>6</v>
      </c>
      <c r="E88" s="15">
        <f t="shared" si="26"/>
        <v>6</v>
      </c>
      <c r="F88" s="15">
        <f t="shared" si="26"/>
        <v>6</v>
      </c>
      <c r="G88" s="15">
        <f t="shared" si="26"/>
        <v>6</v>
      </c>
      <c r="H88" s="15">
        <f t="shared" si="26"/>
        <v>6</v>
      </c>
      <c r="I88" s="15">
        <f t="shared" si="26"/>
        <v>6</v>
      </c>
      <c r="J88" s="15">
        <f t="shared" si="26"/>
        <v>6</v>
      </c>
    </row>
    <row r="89" spans="1:14" s="2" customFormat="1" ht="13.5" customHeight="1" hidden="1">
      <c r="A89" s="2" t="s">
        <v>54</v>
      </c>
      <c r="B89" s="64">
        <f aca="true" t="shared" si="27" ref="B89:J89">B68</f>
        <v>0.06162352941176471</v>
      </c>
      <c r="C89" s="65">
        <f t="shared" si="27"/>
        <v>0.06226213226502006</v>
      </c>
      <c r="D89" s="65">
        <f t="shared" si="27"/>
        <v>0.061623529411764716</v>
      </c>
      <c r="E89" s="65">
        <f t="shared" si="27"/>
        <v>0.06127384445128959</v>
      </c>
      <c r="F89" s="65">
        <f t="shared" si="27"/>
        <v>0.0610529411764706</v>
      </c>
      <c r="G89" s="65">
        <f t="shared" si="27"/>
        <v>0.061273844451289604</v>
      </c>
      <c r="H89" s="65">
        <f t="shared" si="27"/>
        <v>0.011792156862745104</v>
      </c>
      <c r="I89" s="65">
        <f t="shared" si="27"/>
        <v>0.006808204939032178</v>
      </c>
      <c r="J89" s="65">
        <f t="shared" si="27"/>
        <v>0.019019607843137266</v>
      </c>
      <c r="N89"/>
    </row>
    <row r="90" spans="1:10" ht="13.5" customHeight="1" hidden="1">
      <c r="A90" t="s">
        <v>65</v>
      </c>
      <c r="B90" s="22">
        <v>16</v>
      </c>
      <c r="C90" s="15">
        <v>16</v>
      </c>
      <c r="D90" s="15">
        <v>16</v>
      </c>
      <c r="E90" s="15">
        <v>16</v>
      </c>
      <c r="F90" s="15">
        <v>16</v>
      </c>
      <c r="G90" s="15">
        <v>16</v>
      </c>
      <c r="H90" s="15">
        <v>16</v>
      </c>
      <c r="I90" s="15">
        <v>16</v>
      </c>
      <c r="J90" s="15">
        <v>16</v>
      </c>
    </row>
    <row r="91" spans="1:14" s="2" customFormat="1" ht="13.5" customHeight="1" hidden="1">
      <c r="A91" s="2" t="s">
        <v>66</v>
      </c>
      <c r="B91" s="64">
        <f aca="true" t="shared" si="28" ref="B91:J91">0.000291*B90*B29/B24</f>
        <v>0.1643294117647059</v>
      </c>
      <c r="C91" s="65">
        <f t="shared" si="28"/>
        <v>0.16603235270672015</v>
      </c>
      <c r="D91" s="65">
        <f t="shared" si="28"/>
        <v>0.16432941176470592</v>
      </c>
      <c r="E91" s="65">
        <f t="shared" si="28"/>
        <v>0.16339691853677224</v>
      </c>
      <c r="F91" s="65">
        <f t="shared" si="28"/>
        <v>0.16280784313725494</v>
      </c>
      <c r="G91" s="65">
        <f t="shared" si="28"/>
        <v>0.16339691853677227</v>
      </c>
      <c r="H91" s="65">
        <f t="shared" si="28"/>
        <v>0.03144575163398694</v>
      </c>
      <c r="I91" s="65">
        <f t="shared" si="28"/>
        <v>0.018155213170752475</v>
      </c>
      <c r="J91" s="65">
        <f t="shared" si="28"/>
        <v>0.05071895424836605</v>
      </c>
      <c r="N91"/>
    </row>
    <row r="92" spans="1:10" ht="13.5" customHeight="1" hidden="1">
      <c r="A92" s="2" t="s">
        <v>67</v>
      </c>
      <c r="B92" s="22">
        <v>15</v>
      </c>
      <c r="C92" s="15">
        <v>15</v>
      </c>
      <c r="D92" s="15">
        <v>15</v>
      </c>
      <c r="E92" s="15">
        <v>15</v>
      </c>
      <c r="F92" s="15">
        <v>15</v>
      </c>
      <c r="G92" s="15">
        <v>15</v>
      </c>
      <c r="H92" s="15">
        <v>15</v>
      </c>
      <c r="I92" s="15">
        <v>15</v>
      </c>
      <c r="J92" s="15">
        <v>15</v>
      </c>
    </row>
    <row r="93" spans="1:14" s="2" customFormat="1" ht="13.5" customHeight="1" hidden="1">
      <c r="A93" s="2" t="s">
        <v>68</v>
      </c>
      <c r="B93" s="64">
        <f aca="true" t="shared" si="29" ref="B93:J93">0.000291*B92*B29/B24</f>
        <v>0.15405882352941178</v>
      </c>
      <c r="C93" s="65">
        <f t="shared" si="29"/>
        <v>0.1556553306625502</v>
      </c>
      <c r="D93" s="65">
        <f t="shared" si="29"/>
        <v>0.1540588235294118</v>
      </c>
      <c r="E93" s="65">
        <f t="shared" si="29"/>
        <v>0.15318461112822399</v>
      </c>
      <c r="F93" s="65">
        <f t="shared" si="29"/>
        <v>0.15263235294117652</v>
      </c>
      <c r="G93" s="65">
        <f t="shared" si="29"/>
        <v>0.153184611128224</v>
      </c>
      <c r="H93" s="65">
        <f t="shared" si="29"/>
        <v>0.029480392156862763</v>
      </c>
      <c r="I93" s="65">
        <f t="shared" si="29"/>
        <v>0.01702051234758045</v>
      </c>
      <c r="J93" s="65">
        <f t="shared" si="29"/>
        <v>0.04754901960784316</v>
      </c>
      <c r="N93"/>
    </row>
    <row r="94" spans="2:10" ht="13.5" customHeight="1" hidden="1">
      <c r="B94" s="22"/>
      <c r="C94" s="15"/>
      <c r="D94" s="15"/>
      <c r="E94" s="15"/>
      <c r="F94" s="15"/>
      <c r="G94" s="15"/>
      <c r="H94" s="15"/>
      <c r="I94" s="15"/>
      <c r="J94" s="15"/>
    </row>
    <row r="95" spans="1:13" ht="13.5" customHeight="1" hidden="1">
      <c r="A95" s="2" t="s">
        <v>59</v>
      </c>
      <c r="B95" s="64">
        <f aca="true" t="shared" si="30" ref="B95:J95">B85+B87+B89+B91+B93</f>
        <v>0.4829529411764706</v>
      </c>
      <c r="C95" s="65">
        <f t="shared" si="30"/>
        <v>0.5028160475262722</v>
      </c>
      <c r="D95" s="65">
        <f t="shared" si="30"/>
        <v>0.5172666666666668</v>
      </c>
      <c r="E95" s="65">
        <f t="shared" si="30"/>
        <v>0.4910613092515066</v>
      </c>
      <c r="F95" s="65">
        <f t="shared" si="30"/>
        <v>0.47453235294117657</v>
      </c>
      <c r="G95" s="65">
        <f t="shared" si="30"/>
        <v>0.45332599753976643</v>
      </c>
      <c r="H95" s="65">
        <f t="shared" si="30"/>
        <v>0.11629128540305017</v>
      </c>
      <c r="I95" s="65">
        <f t="shared" si="30"/>
        <v>0.06714080493185862</v>
      </c>
      <c r="J95" s="65">
        <f t="shared" si="30"/>
        <v>0.1463362381989834</v>
      </c>
      <c r="K95" s="2"/>
      <c r="L95" s="2"/>
      <c r="M95" s="2"/>
    </row>
    <row r="96" spans="1:10" ht="13.5" customHeight="1" hidden="1">
      <c r="A96" t="s">
        <v>60</v>
      </c>
      <c r="B96" s="22">
        <f aca="true" t="shared" si="31" ref="B96:J96">B28</f>
        <v>0.6</v>
      </c>
      <c r="C96" s="15">
        <f t="shared" si="31"/>
        <v>0.6</v>
      </c>
      <c r="D96" s="15">
        <f t="shared" si="31"/>
        <v>0.6</v>
      </c>
      <c r="E96" s="15">
        <f t="shared" si="31"/>
        <v>0.6</v>
      </c>
      <c r="F96" s="15">
        <f t="shared" si="31"/>
        <v>0.6</v>
      </c>
      <c r="G96" s="15">
        <f t="shared" si="31"/>
        <v>0.6</v>
      </c>
      <c r="H96" s="15">
        <f t="shared" si="31"/>
        <v>0.52</v>
      </c>
      <c r="I96" s="15">
        <f t="shared" si="31"/>
        <v>0.51</v>
      </c>
      <c r="J96" s="15">
        <f t="shared" si="31"/>
        <v>0.54</v>
      </c>
    </row>
    <row r="97" spans="1:13" ht="13.5" customHeight="1" hidden="1">
      <c r="A97" s="2" t="s">
        <v>61</v>
      </c>
      <c r="B97" s="64">
        <f aca="true" t="shared" si="32" ref="B97:J97">B96-B95</f>
        <v>0.11704705882352939</v>
      </c>
      <c r="C97" s="65">
        <f t="shared" si="32"/>
        <v>0.0971839524737278</v>
      </c>
      <c r="D97" s="65">
        <f t="shared" si="32"/>
        <v>0.08273333333333321</v>
      </c>
      <c r="E97" s="65">
        <f t="shared" si="32"/>
        <v>0.10893869074849338</v>
      </c>
      <c r="F97" s="65">
        <f t="shared" si="32"/>
        <v>0.1254676470588234</v>
      </c>
      <c r="G97" s="65">
        <f t="shared" si="32"/>
        <v>0.14667400246023354</v>
      </c>
      <c r="H97" s="65">
        <f t="shared" si="32"/>
        <v>0.40370871459694985</v>
      </c>
      <c r="I97" s="65">
        <f t="shared" si="32"/>
        <v>0.4428591950681414</v>
      </c>
      <c r="J97" s="65">
        <f t="shared" si="32"/>
        <v>0.39366376180101664</v>
      </c>
      <c r="K97" s="2"/>
      <c r="L97" s="2"/>
      <c r="M97" s="2"/>
    </row>
    <row r="98" spans="1:13" ht="13.5" customHeight="1" hidden="1">
      <c r="A98" s="2" t="s">
        <v>62</v>
      </c>
      <c r="B98" s="64">
        <f aca="true" t="shared" si="33" ref="B98:J98">1-(COS(PI()*B97)^2)</f>
        <v>0.1292282837648816</v>
      </c>
      <c r="C98" s="65">
        <f t="shared" si="33"/>
        <v>0.09035502977155463</v>
      </c>
      <c r="D98" s="65">
        <f t="shared" si="33"/>
        <v>0.06604789957863888</v>
      </c>
      <c r="E98" s="65">
        <f t="shared" si="33"/>
        <v>0.11262666012341316</v>
      </c>
      <c r="F98" s="65">
        <f t="shared" si="33"/>
        <v>0.14748698471427413</v>
      </c>
      <c r="G98" s="65">
        <f t="shared" si="33"/>
        <v>0.19771879977829399</v>
      </c>
      <c r="H98" s="65">
        <f t="shared" si="33"/>
        <v>0.9112465016092481</v>
      </c>
      <c r="I98" s="65">
        <f t="shared" si="33"/>
        <v>0.9681197006685822</v>
      </c>
      <c r="J98" s="65">
        <f t="shared" si="33"/>
        <v>0.8924906795966844</v>
      </c>
      <c r="K98" s="2"/>
      <c r="L98" s="2"/>
      <c r="M98" s="2"/>
    </row>
    <row r="99" spans="2:10" ht="13.5" customHeight="1" hidden="1">
      <c r="B99" s="22"/>
      <c r="C99" s="15"/>
      <c r="D99" s="15"/>
      <c r="E99" s="15"/>
      <c r="F99" s="15"/>
      <c r="G99" s="15"/>
      <c r="H99" s="15"/>
      <c r="I99" s="15"/>
      <c r="J99" s="15"/>
    </row>
    <row r="100" spans="2:10" ht="13.5" customHeight="1">
      <c r="B100" s="22"/>
      <c r="C100" s="15"/>
      <c r="D100" s="15"/>
      <c r="E100" s="15"/>
      <c r="F100" s="15"/>
      <c r="G100" s="15"/>
      <c r="H100" s="15"/>
      <c r="I100" s="15"/>
      <c r="J100" s="15"/>
    </row>
    <row r="101" spans="1:10" ht="13.5" customHeight="1">
      <c r="A101" s="6" t="str">
        <f>A49</f>
        <v>Rel.Mod.Eff. (grids)</v>
      </c>
      <c r="B101" s="47">
        <f aca="true" t="shared" si="34" ref="B101:J101">B49</f>
        <v>0.9221453287197232</v>
      </c>
      <c r="C101" s="47">
        <f t="shared" si="34"/>
        <v>0.9279123414071511</v>
      </c>
      <c r="D101" s="47">
        <f t="shared" si="34"/>
        <v>0.9384851980007689</v>
      </c>
      <c r="E101" s="47">
        <f t="shared" si="34"/>
        <v>0.9679610406254004</v>
      </c>
      <c r="F101" s="47">
        <f t="shared" si="34"/>
        <v>0.9846212995001923</v>
      </c>
      <c r="G101" s="47">
        <f t="shared" si="34"/>
        <v>0.9908866960001139</v>
      </c>
      <c r="H101" s="47">
        <f t="shared" si="34"/>
        <v>0.9931650220000854</v>
      </c>
      <c r="I101" s="47">
        <f t="shared" si="34"/>
        <v>0.9954275262917238</v>
      </c>
      <c r="J101" s="47">
        <f t="shared" si="34"/>
        <v>0.9967038107639301</v>
      </c>
    </row>
    <row r="102" spans="1:10" ht="13.5" customHeight="1">
      <c r="A102" s="2" t="str">
        <f>A52</f>
        <v>Rel.Mod.Eff. (matching)</v>
      </c>
      <c r="B102" s="47">
        <f aca="true" t="shared" si="35" ref="B102:J102">B52</f>
        <v>0.9865504228519973</v>
      </c>
      <c r="C102" s="47">
        <f t="shared" si="35"/>
        <v>0.9820672304693298</v>
      </c>
      <c r="D102" s="47">
        <f t="shared" si="35"/>
        <v>0.9760896406257731</v>
      </c>
      <c r="E102" s="47">
        <f t="shared" si="35"/>
        <v>0.9875466878259235</v>
      </c>
      <c r="F102" s="47">
        <f t="shared" si="35"/>
        <v>0.9940224101564432</v>
      </c>
      <c r="G102" s="47">
        <f t="shared" si="35"/>
        <v>0.9955168076173324</v>
      </c>
      <c r="H102" s="47">
        <f t="shared" si="35"/>
        <v>0.9963839271316756</v>
      </c>
      <c r="I102" s="47">
        <f t="shared" si="35"/>
        <v>0.9975400864841331</v>
      </c>
      <c r="J102" s="47">
        <f t="shared" si="35"/>
        <v>0.9981550648630998</v>
      </c>
    </row>
    <row r="103" spans="1:10" ht="13.5" customHeight="1">
      <c r="A103" s="2" t="str">
        <f>A55</f>
        <v>Rel.Mod.Eff. (twist)</v>
      </c>
      <c r="B103" s="47">
        <f aca="true" t="shared" si="36" ref="B103:J103">B55</f>
        <v>0.9494200557031254</v>
      </c>
      <c r="C103" s="47">
        <f t="shared" si="36"/>
        <v>0.962065041777344</v>
      </c>
      <c r="D103" s="47">
        <f t="shared" si="36"/>
        <v>0.9817912200531251</v>
      </c>
      <c r="E103" s="47">
        <f t="shared" si="36"/>
        <v>0.9831400185677084</v>
      </c>
      <c r="F103" s="47">
        <f t="shared" si="36"/>
        <v>0.9856128158444445</v>
      </c>
      <c r="G103" s="47">
        <f t="shared" si="36"/>
        <v>0.9882916795609087</v>
      </c>
      <c r="H103" s="47">
        <f t="shared" si="36"/>
        <v>0.9900088998919754</v>
      </c>
      <c r="I103" s="47">
        <f t="shared" si="36"/>
        <v>0.9925066749189815</v>
      </c>
      <c r="J103" s="47">
        <f t="shared" si="36"/>
        <v>0.993061736036094</v>
      </c>
    </row>
    <row r="104" spans="1:10" ht="13.5" customHeight="1">
      <c r="A104" s="6" t="str">
        <f>A58</f>
        <v>Rel.Mod.Eff. (aspect)</v>
      </c>
      <c r="B104" s="47">
        <f aca="true" t="shared" si="37" ref="B104:J104">B58</f>
        <v>0.8227017332870149</v>
      </c>
      <c r="C104" s="47">
        <f t="shared" si="37"/>
        <v>0.9409005777244228</v>
      </c>
      <c r="D104" s="47">
        <f t="shared" si="37"/>
        <v>0.9803001925748076</v>
      </c>
      <c r="E104" s="47">
        <f t="shared" si="37"/>
        <v>0.9934333974743819</v>
      </c>
      <c r="F104" s="47">
        <f t="shared" si="37"/>
        <v>0.9978111324535451</v>
      </c>
      <c r="G104" s="47">
        <f t="shared" si="37"/>
        <v>0.9992703774465996</v>
      </c>
      <c r="H104" s="47">
        <f t="shared" si="37"/>
        <v>0.9997567924442844</v>
      </c>
      <c r="I104" s="47">
        <f t="shared" si="37"/>
        <v>0.999918930776846</v>
      </c>
      <c r="J104" s="47">
        <f t="shared" si="37"/>
        <v>0.9999729768876999</v>
      </c>
    </row>
    <row r="105" spans="1:14" s="2" customFormat="1" ht="13.5" customHeight="1">
      <c r="A105" s="2" t="str">
        <f aca="true" t="shared" si="38" ref="A105:J105">A77</f>
        <v>Waveform Factor  (Fw)</v>
      </c>
      <c r="B105" s="60">
        <f t="shared" si="38"/>
        <v>0.9866538570067873</v>
      </c>
      <c r="C105" s="47">
        <f t="shared" si="38"/>
        <v>0.9805934262331282</v>
      </c>
      <c r="D105" s="47">
        <f t="shared" si="38"/>
        <v>0.9747404250114576</v>
      </c>
      <c r="E105" s="47">
        <f t="shared" si="38"/>
        <v>0.9847411551970096</v>
      </c>
      <c r="F105" s="47">
        <f t="shared" si="38"/>
        <v>0.9892308665340406</v>
      </c>
      <c r="G105" s="47">
        <f t="shared" si="38"/>
        <v>0.9933962113149049</v>
      </c>
      <c r="H105" s="47">
        <f t="shared" si="38"/>
        <v>0.9967359439487842</v>
      </c>
      <c r="I105" s="47">
        <f t="shared" si="38"/>
        <v>0.9985670661021662</v>
      </c>
      <c r="J105" s="47">
        <f t="shared" si="38"/>
        <v>0.999989489591169</v>
      </c>
      <c r="N105"/>
    </row>
    <row r="106" spans="1:14" s="4" customFormat="1" ht="13.5" customHeight="1">
      <c r="A106" s="43" t="s">
        <v>69</v>
      </c>
      <c r="B106" s="66">
        <f>B$101*B$102*B$103*B$104*B$105</f>
        <v>0.7011069778525999</v>
      </c>
      <c r="C106" s="66">
        <f aca="true" t="shared" si="39" ref="C106:J106">C$101*C$102*C$103*C$104*C$105</f>
        <v>0.80888227255735</v>
      </c>
      <c r="D106" s="66">
        <f t="shared" si="39"/>
        <v>0.859378215468438</v>
      </c>
      <c r="E106" s="66">
        <f t="shared" si="39"/>
        <v>0.9193729754661308</v>
      </c>
      <c r="F106" s="66">
        <f t="shared" si="39"/>
        <v>0.952177133872764</v>
      </c>
      <c r="G106" s="66">
        <f t="shared" si="39"/>
        <v>0.9677501468131313</v>
      </c>
      <c r="H106" s="66">
        <f t="shared" si="39"/>
        <v>0.9762514934443066</v>
      </c>
      <c r="I106" s="66">
        <f t="shared" si="39"/>
        <v>0.9840461539202249</v>
      </c>
      <c r="J106" s="66">
        <f t="shared" si="39"/>
        <v>0.9879252397790249</v>
      </c>
      <c r="N106"/>
    </row>
    <row r="107" spans="1:14" s="4" customFormat="1" ht="13.5" customHeight="1">
      <c r="A107" s="43"/>
      <c r="B107" s="66"/>
      <c r="C107" s="66"/>
      <c r="D107" s="66"/>
      <c r="E107" s="66"/>
      <c r="F107" s="66"/>
      <c r="G107" s="66"/>
      <c r="H107" s="66"/>
      <c r="I107" s="66"/>
      <c r="J107" s="66"/>
      <c r="N107"/>
    </row>
    <row r="108" spans="1:10" s="2" customFormat="1" ht="13.5" customHeight="1">
      <c r="A108" s="2" t="s">
        <v>113</v>
      </c>
      <c r="B108" s="64">
        <f aca="true" t="shared" si="40" ref="B108:J108">B22</f>
        <v>2.2622591649278943</v>
      </c>
      <c r="C108" s="65">
        <f t="shared" si="40"/>
        <v>3.918347812286537</v>
      </c>
      <c r="D108" s="65">
        <f t="shared" si="40"/>
        <v>6.78677749260664</v>
      </c>
      <c r="E108" s="65">
        <f t="shared" si="40"/>
        <v>11.755043391610643</v>
      </c>
      <c r="F108" s="65">
        <f t="shared" si="40"/>
        <v>20.360332223106017</v>
      </c>
      <c r="G108" s="65">
        <f t="shared" si="40"/>
        <v>35.26512895310992</v>
      </c>
      <c r="H108" s="65">
        <f t="shared" si="40"/>
        <v>61.08099032106532</v>
      </c>
      <c r="I108" s="65">
        <f t="shared" si="40"/>
        <v>105.79535387285641</v>
      </c>
      <c r="J108" s="65">
        <f t="shared" si="40"/>
        <v>183.242799560693</v>
      </c>
    </row>
    <row r="109" spans="2:13" ht="13.5" customHeight="1">
      <c r="B109" s="9">
        <f aca="true" t="shared" si="41" ref="B109:J109">B21</f>
        <v>1</v>
      </c>
      <c r="C109" s="9">
        <f t="shared" si="41"/>
        <v>2</v>
      </c>
      <c r="D109" s="9">
        <f t="shared" si="41"/>
        <v>3</v>
      </c>
      <c r="E109" s="9">
        <f t="shared" si="41"/>
        <v>4</v>
      </c>
      <c r="F109" s="9">
        <f t="shared" si="41"/>
        <v>5</v>
      </c>
      <c r="G109" s="9">
        <f t="shared" si="41"/>
        <v>6</v>
      </c>
      <c r="H109" s="9">
        <f t="shared" si="41"/>
        <v>7</v>
      </c>
      <c r="I109" s="9">
        <f t="shared" si="41"/>
        <v>8</v>
      </c>
      <c r="J109" s="9">
        <f t="shared" si="41"/>
        <v>9</v>
      </c>
      <c r="K109" s="1"/>
      <c r="L109" s="1"/>
      <c r="M109" s="1"/>
    </row>
    <row r="118" spans="1:4" ht="15" customHeight="1">
      <c r="A118" s="13"/>
      <c r="B118" s="26"/>
      <c r="C118" s="26"/>
      <c r="D118" s="26"/>
    </row>
    <row r="119" ht="14.25" customHeight="1">
      <c r="A119" s="11"/>
    </row>
    <row r="120" ht="12.75" customHeight="1">
      <c r="A120" s="11"/>
    </row>
  </sheetData>
  <mergeCells count="6">
    <mergeCell ref="B7:E7"/>
    <mergeCell ref="B6:E6"/>
    <mergeCell ref="B2:E2"/>
    <mergeCell ref="B3:E3"/>
    <mergeCell ref="B4:E4"/>
    <mergeCell ref="B5:E5"/>
  </mergeCells>
  <printOptions gridLines="1" horizontalCentered="1" verticalCentered="1"/>
  <pageMargins left="0" right="0" top="1" bottom="1" header="0.5" footer="0.5"/>
  <pageSetup blackAndWhite="1" fitToHeight="1" fitToWidth="1" horizontalDpi="300" verticalDpi="300" orientation="portrait" scale="51" r:id="rId3"/>
  <headerFooter alignWithMargins="0">
    <oddFooter>&amp;C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75" zoomScaleNormal="75" workbookViewId="0" topLeftCell="A1">
      <selection activeCell="B4" sqref="B4:J4"/>
    </sheetView>
  </sheetViews>
  <sheetFormatPr defaultColWidth="9.00390625" defaultRowHeight="13.5" customHeight="1"/>
  <cols>
    <col min="1" max="1" width="35.625" style="0" customWidth="1"/>
    <col min="2" max="4" width="12.625" style="17" customWidth="1"/>
    <col min="5" max="10" width="12.625" style="0" customWidth="1"/>
    <col min="11" max="14" width="8.50390625" style="0" customWidth="1"/>
    <col min="15" max="15" width="21.375" style="0" bestFit="1" customWidth="1"/>
    <col min="16" max="16" width="7.875" style="0" customWidth="1"/>
    <col min="17" max="17" width="7.625" style="0" customWidth="1"/>
    <col min="19" max="19" width="9.875" style="0" customWidth="1"/>
    <col min="20" max="20" width="14.625" style="0" bestFit="1" customWidth="1"/>
    <col min="21" max="21" width="16.50390625" style="0" bestFit="1" customWidth="1"/>
    <col min="22" max="22" width="7.50390625" style="0" customWidth="1"/>
    <col min="23" max="16384" width="2.50390625" style="0" customWidth="1"/>
  </cols>
  <sheetData>
    <row r="1" spans="1:10" ht="26.25">
      <c r="A1" s="71" t="s">
        <v>127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67"/>
      <c r="B2" s="68"/>
      <c r="C2" s="68"/>
      <c r="D2" s="68"/>
      <c r="E2" s="68"/>
      <c r="F2" s="68"/>
      <c r="G2" s="68"/>
      <c r="H2" s="68"/>
      <c r="I2" s="68"/>
      <c r="J2" s="68"/>
    </row>
    <row r="3" spans="1:21" ht="13.5" customHeight="1">
      <c r="A3" s="17" t="s">
        <v>10</v>
      </c>
      <c r="E3" s="17"/>
      <c r="F3" s="17"/>
      <c r="G3" s="17"/>
      <c r="H3" s="17"/>
      <c r="I3" s="17"/>
      <c r="J3" s="17"/>
      <c r="M3" s="9"/>
      <c r="S3" s="6"/>
      <c r="T3" s="6"/>
      <c r="U3" s="6"/>
    </row>
    <row r="4" spans="1:21" ht="13.5" customHeight="1">
      <c r="A4" s="17"/>
      <c r="E4" s="17"/>
      <c r="F4" s="17"/>
      <c r="G4" s="17"/>
      <c r="H4" s="17"/>
      <c r="I4" s="17"/>
      <c r="J4" s="17"/>
      <c r="S4" s="6"/>
      <c r="T4" s="6"/>
      <c r="U4" s="6"/>
    </row>
    <row r="5" spans="1:21" s="3" customFormat="1" ht="13.5" customHeight="1">
      <c r="A5" s="20" t="s">
        <v>11</v>
      </c>
      <c r="B5" s="20">
        <v>1550</v>
      </c>
      <c r="C5" s="20"/>
      <c r="D5" s="20"/>
      <c r="E5" s="20"/>
      <c r="F5" s="20"/>
      <c r="G5" s="20"/>
      <c r="H5" s="20"/>
      <c r="I5" s="20"/>
      <c r="J5" s="20"/>
      <c r="R5"/>
      <c r="S5" s="6"/>
      <c r="T5" s="6"/>
      <c r="U5" s="6"/>
    </row>
    <row r="6" spans="1:21" s="3" customFormat="1" ht="13.5" customHeight="1">
      <c r="A6" s="20" t="s">
        <v>12</v>
      </c>
      <c r="B6" s="20">
        <v>71</v>
      </c>
      <c r="C6" s="20"/>
      <c r="D6" s="20"/>
      <c r="E6" s="20"/>
      <c r="F6" s="20"/>
      <c r="G6" s="20"/>
      <c r="H6" s="20"/>
      <c r="I6" s="20"/>
      <c r="J6" s="20"/>
      <c r="R6"/>
      <c r="S6" s="6"/>
      <c r="T6" s="6"/>
      <c r="U6" s="6"/>
    </row>
    <row r="7" spans="1:21" ht="13.5" customHeight="1">
      <c r="A7" s="17"/>
      <c r="E7" s="17"/>
      <c r="F7" s="17"/>
      <c r="G7" s="17"/>
      <c r="H7" s="17"/>
      <c r="I7" s="17"/>
      <c r="J7" s="17"/>
      <c r="S7" s="6"/>
      <c r="T7" s="6"/>
      <c r="U7" s="6"/>
    </row>
    <row r="8" spans="1:17" s="1" customFormat="1" ht="13.5" customHeight="1">
      <c r="A8" s="1" t="s">
        <v>13</v>
      </c>
      <c r="B8" s="44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/>
      <c r="L8"/>
      <c r="M8"/>
      <c r="O8" s="19"/>
      <c r="P8" s="19"/>
      <c r="Q8" s="19"/>
    </row>
    <row r="9" spans="1:17" s="2" customFormat="1" ht="13.5" customHeight="1">
      <c r="A9" s="21" t="s">
        <v>14</v>
      </c>
      <c r="B9" s="51">
        <f aca="true" t="shared" si="0" ref="B9:J9">B10/2</f>
        <v>2.2622591649278943</v>
      </c>
      <c r="C9" s="51">
        <f t="shared" si="0"/>
        <v>3.918347812286537</v>
      </c>
      <c r="D9" s="51">
        <f t="shared" si="0"/>
        <v>6.78677749260664</v>
      </c>
      <c r="E9" s="49">
        <f t="shared" si="0"/>
        <v>11.755043391610643</v>
      </c>
      <c r="F9" s="49">
        <f t="shared" si="0"/>
        <v>20.360332223106017</v>
      </c>
      <c r="G9" s="49">
        <f t="shared" si="0"/>
        <v>35.26512895310992</v>
      </c>
      <c r="H9" s="49">
        <f t="shared" si="0"/>
        <v>61.08099032106532</v>
      </c>
      <c r="I9" s="49">
        <f t="shared" si="0"/>
        <v>105.79535387285641</v>
      </c>
      <c r="J9" s="49">
        <f t="shared" si="0"/>
        <v>183.242799560693</v>
      </c>
      <c r="K9"/>
      <c r="L9"/>
      <c r="M9"/>
      <c r="N9"/>
      <c r="O9" s="6"/>
      <c r="P9" s="6"/>
      <c r="Q9" s="6"/>
    </row>
    <row r="10" spans="1:17" s="2" customFormat="1" ht="13.5" customHeight="1">
      <c r="A10" s="21" t="s">
        <v>15</v>
      </c>
      <c r="B10" s="51">
        <f>648000*ATAN(B11/L)/PI()</f>
        <v>4.5245183298557885</v>
      </c>
      <c r="C10" s="51">
        <f>648000*ATAN(C11/L)/PI()</f>
        <v>7.836695624573074</v>
      </c>
      <c r="D10" s="51">
        <f>SQRT(3)*C10</f>
        <v>13.57355498521328</v>
      </c>
      <c r="E10" s="49">
        <f aca="true" t="shared" si="1" ref="E10:J10">648000*ATAN(E11/L)/PI()</f>
        <v>23.510086783221286</v>
      </c>
      <c r="F10" s="49">
        <f t="shared" si="1"/>
        <v>40.720664446212034</v>
      </c>
      <c r="G10" s="49">
        <f t="shared" si="1"/>
        <v>70.53025790621984</v>
      </c>
      <c r="H10" s="49">
        <f t="shared" si="1"/>
        <v>122.16198064213064</v>
      </c>
      <c r="I10" s="49">
        <f t="shared" si="1"/>
        <v>211.59070774571282</v>
      </c>
      <c r="J10" s="49">
        <f t="shared" si="1"/>
        <v>366.485599121386</v>
      </c>
      <c r="K10"/>
      <c r="L10"/>
      <c r="M10"/>
      <c r="N10"/>
      <c r="O10" s="6"/>
      <c r="P10" s="6"/>
      <c r="Q10" s="6"/>
    </row>
    <row r="11" spans="1:14" s="6" customFormat="1" ht="13.5" customHeight="1">
      <c r="A11" s="18" t="s">
        <v>16</v>
      </c>
      <c r="B11" s="46">
        <v>0.034</v>
      </c>
      <c r="C11" s="46">
        <f>SQRT(3)*B11</f>
        <v>0.05888972745734183</v>
      </c>
      <c r="D11" s="46">
        <f>SQRT(3)*C11</f>
        <v>0.102</v>
      </c>
      <c r="E11" s="46">
        <f aca="true" t="shared" si="2" ref="E11:J11">SQRT(3)*D11</f>
        <v>0.17666918237202547</v>
      </c>
      <c r="F11" s="46">
        <f t="shared" si="2"/>
        <v>0.30599999999999994</v>
      </c>
      <c r="G11" s="46">
        <f t="shared" si="2"/>
        <v>0.5300075471160763</v>
      </c>
      <c r="H11" s="46">
        <f t="shared" si="2"/>
        <v>0.9179999999999997</v>
      </c>
      <c r="I11" s="46">
        <f t="shared" si="2"/>
        <v>1.5900226413482288</v>
      </c>
      <c r="J11" s="46">
        <f t="shared" si="2"/>
        <v>2.7539999999999987</v>
      </c>
      <c r="K11"/>
      <c r="L11"/>
      <c r="M11"/>
      <c r="N11"/>
    </row>
    <row r="12" spans="1:17" s="6" customFormat="1" ht="13.5" customHeight="1">
      <c r="A12" s="18" t="s">
        <v>126</v>
      </c>
      <c r="B12" s="46" t="s">
        <v>107</v>
      </c>
      <c r="C12" s="46" t="s">
        <v>107</v>
      </c>
      <c r="D12" s="46" t="s">
        <v>107</v>
      </c>
      <c r="E12" s="46" t="s">
        <v>107</v>
      </c>
      <c r="F12" s="46" t="s">
        <v>106</v>
      </c>
      <c r="G12" s="46" t="s">
        <v>106</v>
      </c>
      <c r="H12" s="46" t="s">
        <v>106</v>
      </c>
      <c r="I12" s="46" t="s">
        <v>106</v>
      </c>
      <c r="J12" s="46" t="s">
        <v>106</v>
      </c>
      <c r="K12"/>
      <c r="L12"/>
      <c r="M12"/>
      <c r="N12"/>
      <c r="O12"/>
      <c r="P12"/>
      <c r="Q12"/>
    </row>
    <row r="13" spans="1:17" s="6" customFormat="1" ht="13.5" customHeight="1">
      <c r="A13" s="18" t="s">
        <v>132</v>
      </c>
      <c r="B13" s="46">
        <f aca="true" t="shared" si="3" ref="B13:J13">B11*B15</f>
        <v>0.0204</v>
      </c>
      <c r="C13" s="46">
        <f t="shared" si="3"/>
        <v>0.03533383647440509</v>
      </c>
      <c r="D13" s="46">
        <f t="shared" si="3"/>
        <v>0.06119999999999999</v>
      </c>
      <c r="E13" s="46">
        <f t="shared" si="3"/>
        <v>0.10600150942321528</v>
      </c>
      <c r="F13" s="46">
        <f t="shared" si="3"/>
        <v>0.18359999999999996</v>
      </c>
      <c r="G13" s="46">
        <f t="shared" si="3"/>
        <v>0.3180045282696458</v>
      </c>
      <c r="H13" s="46">
        <f t="shared" si="3"/>
        <v>0.47735999999999984</v>
      </c>
      <c r="I13" s="46">
        <f t="shared" si="3"/>
        <v>0.8109115470875967</v>
      </c>
      <c r="J13" s="46">
        <f t="shared" si="3"/>
        <v>1.4871599999999994</v>
      </c>
      <c r="K13"/>
      <c r="L13"/>
      <c r="M13"/>
      <c r="N13"/>
      <c r="O13"/>
      <c r="P13"/>
      <c r="Q13"/>
    </row>
    <row r="14" spans="1:17" s="6" customFormat="1" ht="13.5" customHeight="1">
      <c r="A14" s="18" t="s">
        <v>133</v>
      </c>
      <c r="B14" s="46">
        <f aca="true" t="shared" si="4" ref="B14:J14">B11-B13</f>
        <v>0.013600000000000001</v>
      </c>
      <c r="C14" s="46">
        <f t="shared" si="4"/>
        <v>0.023555890982936735</v>
      </c>
      <c r="D14" s="46">
        <f t="shared" si="4"/>
        <v>0.0408</v>
      </c>
      <c r="E14" s="46">
        <f t="shared" si="4"/>
        <v>0.0706676729488102</v>
      </c>
      <c r="F14" s="46">
        <f t="shared" si="4"/>
        <v>0.12239999999999998</v>
      </c>
      <c r="G14" s="46">
        <f t="shared" si="4"/>
        <v>0.21200301884643052</v>
      </c>
      <c r="H14" s="46">
        <f t="shared" si="4"/>
        <v>0.44063999999999987</v>
      </c>
      <c r="I14" s="46">
        <f t="shared" si="4"/>
        <v>0.7791110942606321</v>
      </c>
      <c r="J14" s="46">
        <f t="shared" si="4"/>
        <v>1.2668399999999993</v>
      </c>
      <c r="K14"/>
      <c r="L14"/>
      <c r="M14"/>
      <c r="N14"/>
      <c r="O14"/>
      <c r="P14"/>
      <c r="Q14"/>
    </row>
    <row r="15" spans="1:17" s="2" customFormat="1" ht="13.5" customHeight="1">
      <c r="A15" s="21" t="s">
        <v>20</v>
      </c>
      <c r="B15" s="51">
        <v>0.6</v>
      </c>
      <c r="C15" s="51">
        <v>0.6</v>
      </c>
      <c r="D15" s="51">
        <v>0.6</v>
      </c>
      <c r="E15" s="51">
        <v>0.6</v>
      </c>
      <c r="F15" s="51">
        <v>0.6</v>
      </c>
      <c r="G15" s="51">
        <v>0.6</v>
      </c>
      <c r="H15" s="51">
        <v>0.52</v>
      </c>
      <c r="I15" s="51">
        <v>0.51</v>
      </c>
      <c r="J15" s="51">
        <v>0.54</v>
      </c>
      <c r="K15"/>
      <c r="L15"/>
      <c r="M15"/>
      <c r="N15"/>
      <c r="O15" s="6"/>
      <c r="P15" s="6"/>
      <c r="Q15" s="6"/>
    </row>
    <row r="16" spans="1:17" ht="13.5" customHeight="1">
      <c r="A16" s="17" t="s">
        <v>134</v>
      </c>
      <c r="B16" s="49">
        <v>1.2</v>
      </c>
      <c r="C16" s="49">
        <v>2.1</v>
      </c>
      <c r="D16" s="49">
        <v>3.6</v>
      </c>
      <c r="E16" s="49">
        <v>6.2</v>
      </c>
      <c r="F16" s="49">
        <v>10.7</v>
      </c>
      <c r="G16" s="49">
        <v>18.6</v>
      </c>
      <c r="H16" s="49">
        <v>6.2</v>
      </c>
      <c r="I16" s="49">
        <v>6.2</v>
      </c>
      <c r="J16" s="49">
        <v>30</v>
      </c>
      <c r="O16" s="6"/>
      <c r="P16" s="6"/>
      <c r="Q16" s="6"/>
    </row>
    <row r="17" spans="1:13" s="2" customFormat="1" ht="12.75">
      <c r="A17" s="21" t="s">
        <v>22</v>
      </c>
      <c r="B17" s="49">
        <f aca="true" t="shared" si="5" ref="B17:J17">180*ATAN(B13/B16)/PI()</f>
        <v>0.9739344366011552</v>
      </c>
      <c r="C17" s="49">
        <f t="shared" si="5"/>
        <v>0.9639469960260774</v>
      </c>
      <c r="D17" s="49">
        <f t="shared" si="5"/>
        <v>0.973934436601155</v>
      </c>
      <c r="E17" s="49">
        <f t="shared" si="5"/>
        <v>0.9794915232409609</v>
      </c>
      <c r="F17" s="49">
        <f t="shared" si="5"/>
        <v>0.9830348496987059</v>
      </c>
      <c r="G17" s="49">
        <f t="shared" si="5"/>
        <v>0.9794915232409609</v>
      </c>
      <c r="H17" s="49">
        <f t="shared" si="5"/>
        <v>4.402719299543082</v>
      </c>
      <c r="I17" s="49">
        <f t="shared" si="5"/>
        <v>7.451542133947493</v>
      </c>
      <c r="J17" s="49">
        <f t="shared" si="5"/>
        <v>2.837943265385989</v>
      </c>
      <c r="K17"/>
      <c r="L17"/>
      <c r="M17"/>
    </row>
    <row r="18" spans="1:13" s="2" customFormat="1" ht="13.5" customHeight="1">
      <c r="A18" s="21"/>
      <c r="B18" s="49"/>
      <c r="C18" s="49"/>
      <c r="D18" s="49"/>
      <c r="E18" s="49"/>
      <c r="F18" s="49"/>
      <c r="G18" s="49"/>
      <c r="H18" s="49"/>
      <c r="I18" s="49"/>
      <c r="J18" s="49"/>
      <c r="K18"/>
      <c r="L18"/>
      <c r="M18"/>
    </row>
    <row r="19" spans="1:13" s="2" customFormat="1" ht="13.5" customHeight="1">
      <c r="A19" s="21" t="s">
        <v>117</v>
      </c>
      <c r="B19" s="45" t="s">
        <v>125</v>
      </c>
      <c r="C19" s="45" t="s">
        <v>83</v>
      </c>
      <c r="D19" s="45" t="s">
        <v>83</v>
      </c>
      <c r="E19" s="45" t="s">
        <v>83</v>
      </c>
      <c r="F19" s="45" t="s">
        <v>83</v>
      </c>
      <c r="G19" s="45" t="s">
        <v>83</v>
      </c>
      <c r="H19" s="45" t="s">
        <v>83</v>
      </c>
      <c r="I19" s="45" t="s">
        <v>83</v>
      </c>
      <c r="J19" s="45" t="s">
        <v>83</v>
      </c>
      <c r="K19"/>
      <c r="L19"/>
      <c r="M19"/>
    </row>
    <row r="20" spans="1:10" ht="13.5" customHeight="1">
      <c r="A20" s="17" t="s">
        <v>118</v>
      </c>
      <c r="B20" s="54">
        <v>0.0102</v>
      </c>
      <c r="C20" s="54">
        <v>0.0193</v>
      </c>
      <c r="D20" s="54">
        <v>0.0193</v>
      </c>
      <c r="E20" s="54">
        <v>0.0193</v>
      </c>
      <c r="F20" s="54">
        <v>0.0187</v>
      </c>
      <c r="G20" s="54">
        <v>0.0187</v>
      </c>
      <c r="H20" s="54">
        <v>0.0187</v>
      </c>
      <c r="I20" s="54">
        <v>0.0187</v>
      </c>
      <c r="J20" s="54">
        <v>0.0187</v>
      </c>
    </row>
    <row r="21" spans="1:10" s="7" customFormat="1" ht="13.5" customHeight="1">
      <c r="A21" s="23" t="s">
        <v>121</v>
      </c>
      <c r="B21" s="46">
        <v>0.015</v>
      </c>
      <c r="C21" s="46">
        <v>0.0254</v>
      </c>
      <c r="D21" s="54">
        <v>0.0508</v>
      </c>
      <c r="E21" s="54">
        <v>0.0762</v>
      </c>
      <c r="F21" s="49">
        <v>10.7</v>
      </c>
      <c r="G21" s="49">
        <v>18.6</v>
      </c>
      <c r="H21" s="49">
        <v>6.2</v>
      </c>
      <c r="I21" s="49">
        <v>6.2</v>
      </c>
      <c r="J21" s="49">
        <v>30</v>
      </c>
    </row>
    <row r="22" spans="1:13" s="2" customFormat="1" ht="13.5" customHeight="1">
      <c r="A22" s="21" t="s">
        <v>128</v>
      </c>
      <c r="B22" s="55">
        <v>75</v>
      </c>
      <c r="C22" s="55">
        <v>83</v>
      </c>
      <c r="D22" s="55">
        <v>65</v>
      </c>
      <c r="E22" s="55">
        <f>E$16/(E$21+0.0026)</f>
        <v>78.68020304568527</v>
      </c>
      <c r="F22" s="55">
        <f>F$16/F$21</f>
        <v>1</v>
      </c>
      <c r="G22" s="55">
        <f>G$16/G$21</f>
        <v>1</v>
      </c>
      <c r="H22" s="55">
        <f>H$16/H$21</f>
        <v>1</v>
      </c>
      <c r="I22" s="55">
        <f>I$16/I$21</f>
        <v>1</v>
      </c>
      <c r="J22" s="55">
        <f>J$16/J$21</f>
        <v>1</v>
      </c>
      <c r="K22"/>
      <c r="L22"/>
      <c r="M22"/>
    </row>
    <row r="23" spans="1:10" ht="13.5" customHeight="1">
      <c r="A23" s="17" t="s">
        <v>135</v>
      </c>
      <c r="B23" s="45">
        <v>90</v>
      </c>
      <c r="C23" s="45">
        <v>90</v>
      </c>
      <c r="D23" s="45">
        <v>90</v>
      </c>
      <c r="E23" s="45">
        <v>90</v>
      </c>
      <c r="F23" s="45">
        <v>90</v>
      </c>
      <c r="G23" s="45">
        <v>90</v>
      </c>
      <c r="H23" s="45">
        <v>90</v>
      </c>
      <c r="I23" s="45">
        <v>90</v>
      </c>
      <c r="J23" s="45">
        <v>90</v>
      </c>
    </row>
    <row r="24" spans="1:10" ht="13.5" customHeight="1">
      <c r="A24" s="17" t="s">
        <v>136</v>
      </c>
      <c r="B24" s="45">
        <v>110</v>
      </c>
      <c r="C24" s="45">
        <v>110</v>
      </c>
      <c r="D24" s="45">
        <v>110</v>
      </c>
      <c r="E24" s="45">
        <v>110</v>
      </c>
      <c r="F24" s="45">
        <v>110</v>
      </c>
      <c r="G24" s="45">
        <v>110</v>
      </c>
      <c r="H24" s="45">
        <v>110</v>
      </c>
      <c r="I24" s="45">
        <v>110</v>
      </c>
      <c r="J24" s="45">
        <v>110</v>
      </c>
    </row>
    <row r="25" spans="1:10" ht="13.5" customHeight="1">
      <c r="A25" s="17" t="s">
        <v>103</v>
      </c>
      <c r="B25" s="45" t="s">
        <v>125</v>
      </c>
      <c r="C25" s="45" t="s">
        <v>83</v>
      </c>
      <c r="D25" s="45" t="s">
        <v>83</v>
      </c>
      <c r="E25" s="45" t="s">
        <v>83</v>
      </c>
      <c r="F25" s="45" t="s">
        <v>123</v>
      </c>
      <c r="G25" s="45" t="s">
        <v>123</v>
      </c>
      <c r="H25" s="45" t="s">
        <v>123</v>
      </c>
      <c r="I25" s="45" t="s">
        <v>123</v>
      </c>
      <c r="J25" s="45" t="s">
        <v>123</v>
      </c>
    </row>
    <row r="26" spans="1:10" ht="13.5" customHeight="1">
      <c r="A26" s="17" t="s">
        <v>124</v>
      </c>
      <c r="B26" s="49">
        <v>1.2</v>
      </c>
      <c r="C26" s="49">
        <v>2.1</v>
      </c>
      <c r="D26" s="49">
        <f>D$16</f>
        <v>3.6</v>
      </c>
      <c r="E26" s="49">
        <f>E$16</f>
        <v>6.2</v>
      </c>
      <c r="F26" s="49">
        <f>F$16+10</f>
        <v>20.7</v>
      </c>
      <c r="G26" s="49">
        <f>G$16+10</f>
        <v>28.6</v>
      </c>
      <c r="H26" s="49">
        <f>H$16+10</f>
        <v>16.2</v>
      </c>
      <c r="I26" s="49">
        <f>I$16+10</f>
        <v>16.2</v>
      </c>
      <c r="J26" s="49">
        <f>J$16+10</f>
        <v>40</v>
      </c>
    </row>
    <row r="27" spans="1:10" ht="13.5" customHeight="1">
      <c r="A27" s="17" t="s">
        <v>131</v>
      </c>
      <c r="B27" s="54">
        <f>B20</f>
        <v>0.0102</v>
      </c>
      <c r="C27" s="54">
        <f>C20</f>
        <v>0.0193</v>
      </c>
      <c r="D27" s="54">
        <f>D20</f>
        <v>0.0193</v>
      </c>
      <c r="E27" s="54">
        <f>E20</f>
        <v>0.0193</v>
      </c>
      <c r="F27" s="54">
        <v>0.0027</v>
      </c>
      <c r="G27" s="54">
        <v>0.0027</v>
      </c>
      <c r="H27" s="54">
        <v>0.0027</v>
      </c>
      <c r="I27" s="54">
        <v>0.0027</v>
      </c>
      <c r="J27" s="54">
        <v>0.0027</v>
      </c>
    </row>
    <row r="28" spans="1:10" ht="13.5" customHeight="1">
      <c r="A28" s="17" t="s">
        <v>81</v>
      </c>
      <c r="B28" s="45" t="s">
        <v>84</v>
      </c>
      <c r="C28" s="45" t="s">
        <v>84</v>
      </c>
      <c r="D28" s="45" t="s">
        <v>84</v>
      </c>
      <c r="E28" s="45" t="s">
        <v>84</v>
      </c>
      <c r="F28" s="45" t="s">
        <v>85</v>
      </c>
      <c r="G28" s="45" t="s">
        <v>85</v>
      </c>
      <c r="H28" s="45" t="s">
        <v>85</v>
      </c>
      <c r="I28" s="45" t="s">
        <v>85</v>
      </c>
      <c r="J28" s="45" t="s">
        <v>85</v>
      </c>
    </row>
    <row r="29" spans="1:10" ht="12.75">
      <c r="A29" s="17" t="s">
        <v>129</v>
      </c>
      <c r="B29" s="56">
        <v>75</v>
      </c>
      <c r="C29" s="56">
        <v>240</v>
      </c>
      <c r="D29" s="55">
        <v>394</v>
      </c>
      <c r="E29" s="55">
        <v>679</v>
      </c>
      <c r="F29" s="56">
        <v>1006</v>
      </c>
      <c r="G29" s="56">
        <v>1637</v>
      </c>
      <c r="H29" s="56">
        <v>708</v>
      </c>
      <c r="I29" s="56">
        <v>723</v>
      </c>
      <c r="J29" s="56">
        <v>2700</v>
      </c>
    </row>
    <row r="30" spans="1:10" ht="12.75">
      <c r="A30" s="17"/>
      <c r="B30" s="56"/>
      <c r="C30" s="56"/>
      <c r="D30" s="55"/>
      <c r="E30" s="55"/>
      <c r="F30" s="56"/>
      <c r="G30" s="56"/>
      <c r="H30" s="56"/>
      <c r="I30" s="56"/>
      <c r="J30" s="56"/>
    </row>
    <row r="39" spans="1:4" ht="15" customHeight="1">
      <c r="A39" s="13"/>
      <c r="B39" s="26"/>
      <c r="C39" s="26"/>
      <c r="D39" s="26"/>
    </row>
    <row r="40" ht="14.25" customHeight="1">
      <c r="A40" s="11"/>
    </row>
    <row r="41" ht="12.75" customHeight="1">
      <c r="A41" s="11"/>
    </row>
  </sheetData>
  <mergeCells count="1">
    <mergeCell ref="A1:J1"/>
  </mergeCells>
  <printOptions gridLines="1" horizontalCentered="1" verticalCentered="1"/>
  <pageMargins left="0" right="0" top="1" bottom="1" header="0.5" footer="0.5"/>
  <pageSetup blackAndWhite="1" fitToHeight="1" fitToWidth="1" horizontalDpi="300" verticalDpi="300" orientation="landscape" scale="86" r:id="rId3"/>
  <headerFooter alignWithMargins="0">
    <oddFooter>&amp;C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Dennis</dc:creator>
  <cp:keywords/>
  <dc:description/>
  <cp:lastModifiedBy>Dave Curtis</cp:lastModifiedBy>
  <cp:lastPrinted>2000-09-28T21:42:29Z</cp:lastPrinted>
  <dcterms:created xsi:type="dcterms:W3CDTF">1996-03-25T21:15:18Z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