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<sst xmlns="http://schemas.openxmlformats.org/spreadsheetml/2006/main" count="72" uniqueCount="52">
  <si>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Wavelength</t>
  </si>
  <si>
    <t>Photon Energy</t>
  </si>
  <si>
    <t>ergs</t>
  </si>
  <si>
    <t>QE</t>
  </si>
  <si>
    <t>Wavelength bin</t>
  </si>
  <si>
    <t>B0</t>
  </si>
  <si>
    <t>ergs/cm^2/A/s</t>
  </si>
  <si>
    <t>A</t>
  </si>
  <si>
    <t>mV=0</t>
  </si>
  <si>
    <t>log(Spectral flux)</t>
  </si>
  <si>
    <t>Detected</t>
  </si>
  <si>
    <t>Area</t>
  </si>
  <si>
    <t>cm^2</t>
  </si>
  <si>
    <t>counts/s</t>
  </si>
  <si>
    <t>COUNT RATE</t>
  </si>
  <si>
    <t>A0</t>
  </si>
  <si>
    <t>F0</t>
  </si>
  <si>
    <t>G0</t>
  </si>
  <si>
    <t>K0</t>
  </si>
  <si>
    <t>M0</t>
  </si>
  <si>
    <t>mag4/mag0</t>
  </si>
  <si>
    <t>PMT-RAS Spectral Response</t>
  </si>
  <si>
    <t xml:space="preserve">refractive </t>
  </si>
  <si>
    <t>index</t>
  </si>
  <si>
    <t>F.L.</t>
  </si>
  <si>
    <t>mm</t>
  </si>
  <si>
    <t>SPOTrms</t>
  </si>
  <si>
    <t>FOCAL PT</t>
  </si>
  <si>
    <t>Det. Fraction</t>
  </si>
  <si>
    <t>Det.Fraction</t>
  </si>
  <si>
    <t>DET RATE</t>
  </si>
  <si>
    <t>&lt;DET.RATE&gt;</t>
  </si>
  <si>
    <t>&lt;COUNT.RATE&gt;</t>
  </si>
  <si>
    <t>Pop.Fract.(X0-9)</t>
  </si>
  <si>
    <t>Pop.Fraction(X0+-)</t>
  </si>
  <si>
    <t>&lt;DET FRACT&gt;</t>
  </si>
  <si>
    <t>mV=4</t>
  </si>
  <si>
    <t>Slit width</t>
  </si>
  <si>
    <t>M.G.Design R.I.</t>
  </si>
  <si>
    <t>&lt;Det.W.L&gt;</t>
  </si>
  <si>
    <t>Spot sigma</t>
  </si>
  <si>
    <t>sigma</t>
  </si>
  <si>
    <t>erf</t>
  </si>
  <si>
    <t>for .2mm</t>
  </si>
  <si>
    <t>(rect)</t>
  </si>
  <si>
    <t>Slit length</t>
  </si>
  <si>
    <t>Total FOV</t>
  </si>
  <si>
    <t>deg</t>
  </si>
  <si>
    <t>(ignoring spotsize)</t>
  </si>
  <si>
    <t>Eff FWHM</t>
  </si>
  <si>
    <t>(mm)</t>
  </si>
  <si>
    <t>SPOTfwhm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</si>
</sst>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0"/>
    <numFmt numFmtId="167" formatCode="0.0"/>
    <numFmt numFmtId="168" formatCode="0.00000000"/>
    <numFmt numFmtId="169" formatCode="0.0000000"/>
    <numFmt numFmtId="170" formatCode="0.000000"/>
    <numFmt numFmtId="171" formatCode="0.00000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workbookViewId="0" topLeftCell="B1">
      <selection activeCell="E9" sqref="E9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3" width="6.8515625" style="0" customWidth="1"/>
    <col min="4" max="4" width="15.8515625" style="0" customWidth="1"/>
    <col min="5" max="5" width="11.140625" style="0" customWidth="1"/>
    <col min="6" max="6" width="11.8515625" style="0" customWidth="1"/>
    <col min="7" max="7" width="9.57421875" style="0" bestFit="1" customWidth="1"/>
    <col min="8" max="8" width="7.140625" style="0" customWidth="1"/>
    <col min="9" max="9" width="9.57421875" style="0" bestFit="1" customWidth="1"/>
    <col min="10" max="10" width="5.57421875" style="0" customWidth="1"/>
    <col min="11" max="11" width="9.57421875" style="0" bestFit="1" customWidth="1"/>
    <col min="12" max="12" width="5.7109375" style="0" customWidth="1"/>
    <col min="13" max="13" width="9.57421875" style="0" bestFit="1" customWidth="1"/>
    <col min="14" max="14" width="6.00390625" style="0" customWidth="1"/>
    <col min="15" max="15" width="9.57421875" style="0" bestFit="1" customWidth="1"/>
  </cols>
  <sheetData>
    <row r="1" spans="1:15" ht="2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4:15" ht="12.75">
      <c r="D3" s="1" t="s">
        <v>5</v>
      </c>
      <c r="E3" s="1" t="s">
        <v>5</v>
      </c>
      <c r="F3" s="1" t="s">
        <v>15</v>
      </c>
      <c r="G3" s="1" t="s">
        <v>15</v>
      </c>
      <c r="H3" s="1" t="s">
        <v>16</v>
      </c>
      <c r="I3" s="1" t="s">
        <v>16</v>
      </c>
      <c r="J3" s="1" t="s">
        <v>17</v>
      </c>
      <c r="K3" s="1" t="s">
        <v>17</v>
      </c>
      <c r="L3" s="1" t="s">
        <v>18</v>
      </c>
      <c r="M3" s="1" t="s">
        <v>18</v>
      </c>
      <c r="N3" s="1" t="s">
        <v>19</v>
      </c>
      <c r="O3" s="1" t="s">
        <v>19</v>
      </c>
    </row>
    <row r="4" spans="1:9" ht="12.75">
      <c r="A4" s="1" t="s">
        <v>0</v>
      </c>
      <c r="B4" s="1" t="s">
        <v>1</v>
      </c>
      <c r="C4" s="1" t="s">
        <v>3</v>
      </c>
      <c r="D4" s="1" t="s">
        <v>9</v>
      </c>
      <c r="E4" s="1" t="s">
        <v>10</v>
      </c>
      <c r="F4" s="1"/>
      <c r="G4" s="1"/>
      <c r="H4" s="1"/>
      <c r="I4" s="1"/>
    </row>
    <row r="5" spans="1:9" ht="12.75">
      <c r="A5" s="1" t="s">
        <v>7</v>
      </c>
      <c r="B5" s="1" t="s">
        <v>2</v>
      </c>
      <c r="C5" s="1"/>
      <c r="D5" s="1" t="s">
        <v>6</v>
      </c>
      <c r="E5" s="1" t="s">
        <v>13</v>
      </c>
      <c r="F5" s="1"/>
      <c r="G5" s="1"/>
      <c r="H5" s="1"/>
      <c r="I5" s="1"/>
    </row>
    <row r="6" spans="1:15" ht="12.75">
      <c r="A6" s="1"/>
      <c r="B6" s="1"/>
      <c r="C6" s="1"/>
      <c r="D6" s="1" t="s">
        <v>8</v>
      </c>
      <c r="E6" s="1" t="s">
        <v>36</v>
      </c>
      <c r="F6" s="1"/>
      <c r="G6" s="1" t="s">
        <v>36</v>
      </c>
      <c r="H6" s="1"/>
      <c r="I6" s="1" t="s">
        <v>36</v>
      </c>
      <c r="K6" s="1" t="s">
        <v>36</v>
      </c>
      <c r="M6" s="1" t="s">
        <v>36</v>
      </c>
      <c r="O6" s="1" t="s">
        <v>36</v>
      </c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1" ht="12.75">
      <c r="A8" s="1">
        <v>3000</v>
      </c>
      <c r="B8" s="2">
        <f>0.00000001986/A8</f>
        <v>6.6200000000000005E-12</v>
      </c>
      <c r="C8" s="1">
        <v>0.1</v>
      </c>
      <c r="D8" s="4">
        <v>-7.6</v>
      </c>
      <c r="E8" s="2">
        <f aca="true" t="shared" si="0" ref="E8:E14">10^D8*$C8*$B$27*$B$26*$B$28/$B8</f>
        <v>18109.047651244164</v>
      </c>
      <c r="F8" s="4">
        <v>-8.4</v>
      </c>
      <c r="G8" s="2">
        <f aca="true" t="shared" si="1" ref="G8:G14">10^F8*$C8*$B$27*$B$26*$B$28/$B8</f>
        <v>2870.0906344410805</v>
      </c>
      <c r="H8" s="4">
        <v>-8.7</v>
      </c>
      <c r="I8" s="2">
        <f aca="true" t="shared" si="2" ref="I8:I14">10^H8*$C8*$B$27*$B$26*$B$28/$B8</f>
        <v>1438.4527853350723</v>
      </c>
      <c r="J8" s="6">
        <v>-8.9</v>
      </c>
      <c r="K8" s="2">
        <f aca="true" t="shared" si="3" ref="K8:K14">10^J8*$C8*$B$27*$B$26*$B$28/$B8</f>
        <v>907.6023495951498</v>
      </c>
    </row>
    <row r="9" spans="1:11" ht="12.75">
      <c r="A9" s="1">
        <v>3500</v>
      </c>
      <c r="B9" s="2">
        <f aca="true" t="shared" si="4" ref="B9:B14">0.00000001986/A9</f>
        <v>5.674285714285714E-12</v>
      </c>
      <c r="C9" s="1">
        <v>0.26</v>
      </c>
      <c r="D9" s="4">
        <v>-7.8</v>
      </c>
      <c r="E9" s="2">
        <f t="shared" si="0"/>
        <v>34658.97773851945</v>
      </c>
      <c r="F9" s="4">
        <v>-8.45</v>
      </c>
      <c r="G9" s="2">
        <f t="shared" si="1"/>
        <v>7759.178610439291</v>
      </c>
      <c r="H9" s="4">
        <v>-8.6</v>
      </c>
      <c r="I9" s="2">
        <f t="shared" si="2"/>
        <v>5493.077787544077</v>
      </c>
      <c r="J9" s="6">
        <v>-8.7</v>
      </c>
      <c r="K9" s="2">
        <f t="shared" si="3"/>
        <v>4363.306782183052</v>
      </c>
    </row>
    <row r="10" spans="1:15" ht="12.75">
      <c r="A10" s="1">
        <v>4000</v>
      </c>
      <c r="B10" s="2">
        <f t="shared" si="4"/>
        <v>4.965E-12</v>
      </c>
      <c r="C10" s="1">
        <v>0.26</v>
      </c>
      <c r="D10" s="4">
        <v>-7.98</v>
      </c>
      <c r="E10" s="2">
        <f t="shared" si="0"/>
        <v>26170.239435978147</v>
      </c>
      <c r="F10" s="4">
        <v>-8.07</v>
      </c>
      <c r="G10" s="2">
        <f t="shared" si="1"/>
        <v>21271.9692288842</v>
      </c>
      <c r="H10" s="4">
        <v>-8.28</v>
      </c>
      <c r="I10" s="2">
        <f t="shared" si="2"/>
        <v>13116.189906281272</v>
      </c>
      <c r="J10" s="6">
        <v>-8.43</v>
      </c>
      <c r="K10" s="2">
        <f t="shared" si="3"/>
        <v>9285.551351333586</v>
      </c>
      <c r="L10">
        <v>-8.63</v>
      </c>
      <c r="M10" s="2">
        <f>10^L10*$C10*$B$27*$B$26*$B$28/$B10</f>
        <v>5858.786822671901</v>
      </c>
      <c r="N10">
        <v>-9.07</v>
      </c>
      <c r="O10" s="2">
        <f>10^N10*$C10*$B$27*$B$26*$B$28/$B10</f>
        <v>2127.196922888418</v>
      </c>
    </row>
    <row r="11" spans="1:15" ht="12.75">
      <c r="A11" s="1">
        <v>4500</v>
      </c>
      <c r="B11" s="2">
        <f t="shared" si="4"/>
        <v>4.413333333333333E-12</v>
      </c>
      <c r="C11" s="1">
        <v>0.21</v>
      </c>
      <c r="D11" s="4">
        <v>-8.12</v>
      </c>
      <c r="E11" s="2">
        <f t="shared" si="0"/>
        <v>17226.861626903352</v>
      </c>
      <c r="F11" s="4">
        <v>-8.2</v>
      </c>
      <c r="G11" s="2">
        <f t="shared" si="1"/>
        <v>14328.679391057034</v>
      </c>
      <c r="H11" s="4">
        <v>-8.29</v>
      </c>
      <c r="I11" s="2">
        <f t="shared" si="2"/>
        <v>11646.787865382792</v>
      </c>
      <c r="J11" s="6">
        <v>-8.37</v>
      </c>
      <c r="K11" s="2">
        <f t="shared" si="3"/>
        <v>9687.37619614359</v>
      </c>
      <c r="L11">
        <v>-8.45</v>
      </c>
      <c r="M11" s="2">
        <f>10^L11*$C11*$B$27*$B$26*$B$28/$B11</f>
        <v>8057.608556994648</v>
      </c>
      <c r="N11">
        <v>-8.65</v>
      </c>
      <c r="O11" s="2">
        <f>10^N11*$C11*$B$27*$B$26*$B$28/$B11</f>
        <v>5084.007297982216</v>
      </c>
    </row>
    <row r="12" spans="1:15" ht="12.75">
      <c r="A12" s="1">
        <v>5000</v>
      </c>
      <c r="B12" s="2">
        <f t="shared" si="4"/>
        <v>3.9720000000000004E-12</v>
      </c>
      <c r="C12" s="1">
        <v>0.14</v>
      </c>
      <c r="D12" s="4">
        <v>-8.27</v>
      </c>
      <c r="E12" s="2">
        <f t="shared" si="0"/>
        <v>9033.840049581566</v>
      </c>
      <c r="F12" s="4">
        <v>-8.32</v>
      </c>
      <c r="G12" s="2">
        <f t="shared" si="1"/>
        <v>8051.418419139749</v>
      </c>
      <c r="H12" s="4">
        <v>-8.37</v>
      </c>
      <c r="I12" s="2">
        <f t="shared" si="2"/>
        <v>7175.834219365623</v>
      </c>
      <c r="J12" s="6">
        <v>-8.39</v>
      </c>
      <c r="K12" s="2">
        <f t="shared" si="3"/>
        <v>6852.868478013091</v>
      </c>
      <c r="L12">
        <v>-8.44</v>
      </c>
      <c r="M12" s="2">
        <f>10^L12*$C12*$B$27*$B$26*$B$28/$B12</f>
        <v>6107.625459936343</v>
      </c>
      <c r="N12">
        <v>-8.56</v>
      </c>
      <c r="O12" s="2">
        <f>10^N12*$C12*$B$27*$B$26*$B$28/$B12</f>
        <v>4633.107710585003</v>
      </c>
    </row>
    <row r="13" spans="1:15" ht="12.75">
      <c r="A13" s="1">
        <v>5500</v>
      </c>
      <c r="B13" s="2">
        <f t="shared" si="4"/>
        <v>3.610909090909091E-12</v>
      </c>
      <c r="C13" s="1">
        <v>0.07</v>
      </c>
      <c r="D13" s="4">
        <v>-8.44</v>
      </c>
      <c r="E13" s="2">
        <f t="shared" si="0"/>
        <v>3359.1940029649886</v>
      </c>
      <c r="F13" s="4">
        <v>-8.44</v>
      </c>
      <c r="G13" s="2">
        <f t="shared" si="1"/>
        <v>3359.1940029649886</v>
      </c>
      <c r="H13" s="4">
        <v>-8.44</v>
      </c>
      <c r="I13" s="2">
        <f t="shared" si="2"/>
        <v>3359.1940029649886</v>
      </c>
      <c r="J13" s="6">
        <v>-8.44</v>
      </c>
      <c r="K13" s="2">
        <f t="shared" si="3"/>
        <v>3359.1940029649886</v>
      </c>
      <c r="L13">
        <v>-8.44</v>
      </c>
      <c r="M13" s="2">
        <f>10^L13*$C13*$B$27*$B$26*$B$28/$B13</f>
        <v>3359.1940029649886</v>
      </c>
      <c r="N13">
        <v>-8.44</v>
      </c>
      <c r="O13" s="2">
        <f>10^N13*$C13*$B$27*$B$26*$B$28/$B13</f>
        <v>3359.1940029649886</v>
      </c>
    </row>
    <row r="14" spans="1:15" ht="12.75">
      <c r="A14" s="1">
        <v>6000</v>
      </c>
      <c r="B14" s="2">
        <f t="shared" si="4"/>
        <v>3.3100000000000002E-12</v>
      </c>
      <c r="C14" s="1">
        <v>0.02</v>
      </c>
      <c r="D14" s="4">
        <v>-8.58</v>
      </c>
      <c r="E14" s="2">
        <f t="shared" si="0"/>
        <v>758.5000309452732</v>
      </c>
      <c r="F14" s="4">
        <v>-8.56</v>
      </c>
      <c r="G14" s="2">
        <f t="shared" si="1"/>
        <v>794.2470361002861</v>
      </c>
      <c r="H14" s="4">
        <v>-8.53</v>
      </c>
      <c r="I14" s="2">
        <f t="shared" si="2"/>
        <v>851.0510323092097</v>
      </c>
      <c r="J14" s="6">
        <v>-8.5</v>
      </c>
      <c r="K14" s="2">
        <f t="shared" si="3"/>
        <v>911.9176108617118</v>
      </c>
      <c r="L14">
        <v>-8.42</v>
      </c>
      <c r="M14" s="2">
        <f>10^L14*$C14*$B$27*$B$26*$B$28/$B14</f>
        <v>1096.3661108403167</v>
      </c>
      <c r="N14">
        <v>-8.33</v>
      </c>
      <c r="O14" s="2">
        <f>10^N14*$C14*$B$27*$B$26*$B$28/$B14</f>
        <v>1348.8249875438669</v>
      </c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K15" s="1"/>
      <c r="M15" s="1"/>
      <c r="O15" s="1"/>
    </row>
    <row r="16" spans="4:15" ht="12.75">
      <c r="D16" s="1" t="s">
        <v>14</v>
      </c>
      <c r="E16" s="5">
        <f>SUM(E8:E14)</f>
        <v>109316.66053613694</v>
      </c>
      <c r="G16" s="5">
        <f>SUM(G8:G14)</f>
        <v>58434.777323026625</v>
      </c>
      <c r="I16" s="5">
        <f>SUM(I8:I14)</f>
        <v>43080.58759918303</v>
      </c>
      <c r="K16" s="5">
        <f>SUM(K8:K14)</f>
        <v>35367.81677109517</v>
      </c>
      <c r="M16" s="5">
        <f>SUM(M8:M14)</f>
        <v>24479.580953408196</v>
      </c>
      <c r="O16" s="5">
        <f>SUM(O8:O14)</f>
        <v>16552.330921964494</v>
      </c>
    </row>
    <row r="17" spans="4:15" ht="12.75">
      <c r="D17" s="1" t="s">
        <v>30</v>
      </c>
      <c r="E17" s="5">
        <f>SUMPRODUCT(E8:E14,$F42:$F48)</f>
        <v>74368.38213010537</v>
      </c>
      <c r="G17" s="5">
        <f>SUMPRODUCT(G8:G14,$F42:$F48)</f>
        <v>49185.29004604913</v>
      </c>
      <c r="I17" s="5">
        <f>SUMPRODUCT(I8:I14,$F42:$F48)</f>
        <v>36214.55999365798</v>
      </c>
      <c r="K17" s="5">
        <f>SUMPRODUCT(K8:K14,$F42:$F48)</f>
        <v>29517.139985941103</v>
      </c>
      <c r="M17" s="5">
        <f>SUMPRODUCT(M8:M14,$F42:$F48)</f>
        <v>21629.251235456297</v>
      </c>
      <c r="O17" s="5">
        <f>SUMPRODUCT(O8:O14,$F42:$F48)</f>
        <v>13826.45615583769</v>
      </c>
    </row>
    <row r="18" spans="4:15" ht="12.75">
      <c r="D18" s="1" t="s">
        <v>29</v>
      </c>
      <c r="E18" s="7">
        <f>SUMPRODUCT(E8:E14,$F42:$F48)/E16</f>
        <v>0.6803023598175258</v>
      </c>
      <c r="F18" s="8"/>
      <c r="G18" s="7">
        <f>SUMPRODUCT(G8:G14,$F42:$F48)/G16</f>
        <v>0.8417126290077831</v>
      </c>
      <c r="H18" s="8"/>
      <c r="I18" s="7">
        <f>SUMPRODUCT(I8:I14,$F42:$F48)/I16</f>
        <v>0.8406236314739761</v>
      </c>
      <c r="J18" s="8"/>
      <c r="K18" s="7">
        <f>SUMPRODUCT(K8:K14,$F42:$F48)/K16</f>
        <v>0.8345762526700373</v>
      </c>
      <c r="L18" s="8"/>
      <c r="M18" s="7">
        <f>SUMPRODUCT(M8:M14,$F42:$F48)/M16</f>
        <v>0.8835629693426161</v>
      </c>
      <c r="N18" s="8"/>
      <c r="O18" s="7">
        <f>SUMPRODUCT(O8:O14,$F42:$F48)/O16</f>
        <v>0.835317770108762</v>
      </c>
    </row>
    <row r="19" spans="4:15" ht="12.75">
      <c r="D19" s="1" t="s">
        <v>39</v>
      </c>
      <c r="E19" s="5">
        <f>SUMPRODUCT(E8:E14,$A8:$A14)/SUM(E8:E14)</f>
        <v>3897.2208395680127</v>
      </c>
      <c r="F19" s="13"/>
      <c r="G19" s="5">
        <f>SUMPRODUCT(G8:G14,$A8:$A14)/SUM(G8:G14)</f>
        <v>4258.294186152533</v>
      </c>
      <c r="H19" s="13"/>
      <c r="I19" s="5">
        <f>SUMPRODUCT(I8:I14,$A8:$A14)/SUM(I8:I14)</f>
        <v>4361.070505507933</v>
      </c>
      <c r="J19" s="13"/>
      <c r="K19" s="5">
        <f>SUMPRODUCT(K8:K14,$A8:$A14)/SUM(K8:K14)</f>
        <v>4437.40124423547</v>
      </c>
      <c r="L19" s="13"/>
      <c r="M19" s="5">
        <f>SUMPRODUCT(M8:M14,$A8:$A14)/SUM(M8:M14)</f>
        <v>4709.487347745784</v>
      </c>
      <c r="N19" s="13"/>
      <c r="O19" s="5">
        <f>SUMPRODUCT(O8:O14,$A8:$A14)/SUM(O8:O14)</f>
        <v>4900.873261259179</v>
      </c>
    </row>
    <row r="20" spans="4:15" ht="12.75">
      <c r="D20" s="1" t="s">
        <v>33</v>
      </c>
      <c r="E20" s="4">
        <v>0.1</v>
      </c>
      <c r="F20" s="6"/>
      <c r="G20" s="4">
        <v>0.22</v>
      </c>
      <c r="H20" s="6"/>
      <c r="I20" s="4">
        <v>0.19</v>
      </c>
      <c r="J20" s="6"/>
      <c r="K20" s="4">
        <v>0.14</v>
      </c>
      <c r="L20" s="6"/>
      <c r="M20" s="4">
        <v>0.31</v>
      </c>
      <c r="N20" s="6"/>
      <c r="O20" s="4">
        <v>0.03</v>
      </c>
    </row>
    <row r="21" spans="4:15" ht="12.75">
      <c r="D21" s="1" t="s">
        <v>34</v>
      </c>
      <c r="E21" s="7">
        <v>0.05</v>
      </c>
      <c r="F21" s="8"/>
      <c r="G21" s="7">
        <v>0.16</v>
      </c>
      <c r="H21" s="8"/>
      <c r="I21" s="7">
        <v>0.205</v>
      </c>
      <c r="J21" s="8"/>
      <c r="K21" s="7">
        <v>0.165</v>
      </c>
      <c r="L21" s="8"/>
      <c r="M21" s="7">
        <v>0.225</v>
      </c>
      <c r="N21" s="8"/>
      <c r="O21" s="7">
        <v>0.185</v>
      </c>
    </row>
    <row r="22" spans="4:15" ht="12.75">
      <c r="D22" s="1" t="s">
        <v>32</v>
      </c>
      <c r="E22" s="5">
        <f>SUMPRODUCT(E16:O16,E21:O21)/SUM(E21:O21)</f>
        <v>38437.06521074203</v>
      </c>
      <c r="F22" s="6"/>
      <c r="G22" s="4"/>
      <c r="H22" s="6"/>
      <c r="I22" s="4"/>
      <c r="J22" s="6"/>
      <c r="K22" s="4"/>
      <c r="L22" s="6"/>
      <c r="M22" s="4"/>
      <c r="N22" s="6"/>
      <c r="O22" s="4"/>
    </row>
    <row r="23" spans="4:15" ht="12.75">
      <c r="D23" s="12" t="s">
        <v>31</v>
      </c>
      <c r="E23" s="10">
        <f>SUMPRODUCT(E17:O17,E21:O21)/SUM(E21:O21)</f>
        <v>31623.08517884943</v>
      </c>
      <c r="F23" s="6"/>
      <c r="G23" s="4"/>
      <c r="H23" s="6"/>
      <c r="I23" s="4"/>
      <c r="J23" s="6"/>
      <c r="K23" s="4"/>
      <c r="L23" s="6"/>
      <c r="M23" s="4"/>
      <c r="N23" s="6"/>
      <c r="O23" s="4"/>
    </row>
    <row r="24" spans="4:15" ht="12.75">
      <c r="D24" s="12" t="s">
        <v>35</v>
      </c>
      <c r="E24" s="11">
        <f>E23/E22</f>
        <v>0.8227237174708049</v>
      </c>
      <c r="G24" s="5"/>
      <c r="I24" s="5"/>
      <c r="K24" s="5"/>
      <c r="M24" s="5"/>
      <c r="O24" s="5"/>
    </row>
    <row r="25" spans="5:15" ht="12.75">
      <c r="E25" s="7"/>
      <c r="G25" s="5"/>
      <c r="I25" s="5"/>
      <c r="K25" s="5"/>
      <c r="M25" s="5"/>
      <c r="O25" s="5"/>
    </row>
    <row r="26" spans="1:3" ht="12.75">
      <c r="A26" s="1" t="s">
        <v>4</v>
      </c>
      <c r="B26" s="1">
        <v>500</v>
      </c>
      <c r="C26" t="s">
        <v>7</v>
      </c>
    </row>
    <row r="27" spans="1:2" ht="12.75">
      <c r="A27" s="1" t="s">
        <v>20</v>
      </c>
      <c r="B27" s="3">
        <f>10^(-1.6)</f>
        <v>0.02511886431509578</v>
      </c>
    </row>
    <row r="28" spans="1:3" ht="12.75">
      <c r="A28" s="1" t="s">
        <v>11</v>
      </c>
      <c r="B28" s="1">
        <v>3.8</v>
      </c>
      <c r="C28" t="s">
        <v>12</v>
      </c>
    </row>
    <row r="29" spans="1:2" ht="12.75">
      <c r="A29" s="1" t="s">
        <v>38</v>
      </c>
      <c r="B29" s="1">
        <v>1.4601</v>
      </c>
    </row>
    <row r="30" spans="1:3" ht="12.75">
      <c r="A30" s="1" t="s">
        <v>40</v>
      </c>
      <c r="B30" s="7">
        <v>0.043</v>
      </c>
      <c r="C30" t="s">
        <v>25</v>
      </c>
    </row>
    <row r="31" spans="1:3" ht="12.75">
      <c r="A31" s="12" t="s">
        <v>27</v>
      </c>
      <c r="B31" s="14">
        <v>73.9</v>
      </c>
      <c r="C31" s="9" t="s">
        <v>25</v>
      </c>
    </row>
    <row r="32" spans="1:3" ht="12.75">
      <c r="A32" s="1" t="s">
        <v>37</v>
      </c>
      <c r="B32" s="1">
        <v>0.2</v>
      </c>
      <c r="C32" t="s">
        <v>25</v>
      </c>
    </row>
    <row r="33" spans="1:4" ht="12.75">
      <c r="A33" s="1" t="s">
        <v>45</v>
      </c>
      <c r="B33" s="1">
        <v>6.5</v>
      </c>
      <c r="C33" s="15" t="s">
        <v>25</v>
      </c>
      <c r="D33" s="1"/>
    </row>
    <row r="34" spans="1:4" ht="12.75">
      <c r="A34" s="1" t="s">
        <v>46</v>
      </c>
      <c r="B34" s="16">
        <f>B33/B31*180/PI()</f>
        <v>5.039547589107376</v>
      </c>
      <c r="C34" t="s">
        <v>47</v>
      </c>
      <c r="D34" t="s">
        <v>48</v>
      </c>
    </row>
    <row r="35" spans="9:10" ht="12.75">
      <c r="I35" t="s">
        <v>41</v>
      </c>
      <c r="J35" t="s">
        <v>42</v>
      </c>
    </row>
    <row r="36" ht="12.75">
      <c r="I36" t="s">
        <v>43</v>
      </c>
    </row>
    <row r="37" spans="9:10" ht="12.75">
      <c r="I37">
        <v>40</v>
      </c>
      <c r="J37" s="6">
        <v>0.99</v>
      </c>
    </row>
    <row r="38" spans="1:10" ht="12.75">
      <c r="A38" s="1"/>
      <c r="I38">
        <v>60</v>
      </c>
      <c r="J38" s="6">
        <v>0.9</v>
      </c>
    </row>
    <row r="39" spans="1:10" ht="12.75">
      <c r="A39" s="1" t="s">
        <v>0</v>
      </c>
      <c r="B39" s="1" t="s">
        <v>22</v>
      </c>
      <c r="C39" s="1" t="s">
        <v>24</v>
      </c>
      <c r="D39" s="1" t="s">
        <v>26</v>
      </c>
      <c r="E39" s="1" t="s">
        <v>51</v>
      </c>
      <c r="F39" s="1" t="s">
        <v>28</v>
      </c>
      <c r="G39" s="1" t="s">
        <v>49</v>
      </c>
      <c r="I39">
        <v>80</v>
      </c>
      <c r="J39" s="6">
        <v>0.79</v>
      </c>
    </row>
    <row r="40" spans="1:10" ht="12.75">
      <c r="A40" s="1" t="s">
        <v>7</v>
      </c>
      <c r="B40" s="1" t="s">
        <v>23</v>
      </c>
      <c r="C40" s="1" t="s">
        <v>25</v>
      </c>
      <c r="D40" s="1" t="s">
        <v>25</v>
      </c>
      <c r="E40" s="1" t="s">
        <v>25</v>
      </c>
      <c r="F40" s="1" t="s">
        <v>44</v>
      </c>
      <c r="G40" s="1" t="s">
        <v>50</v>
      </c>
      <c r="I40">
        <v>100</v>
      </c>
      <c r="J40" s="6">
        <v>0.68</v>
      </c>
    </row>
    <row r="41" spans="1:10" ht="12.75">
      <c r="A41" s="1"/>
      <c r="I41">
        <v>120</v>
      </c>
      <c r="J41" s="6">
        <v>0.59</v>
      </c>
    </row>
    <row r="42" spans="1:10" ht="12.75">
      <c r="A42" s="1">
        <v>3000</v>
      </c>
      <c r="B42" s="1">
        <v>1.4877</v>
      </c>
      <c r="C42" s="1">
        <f>75*($B$29-1)/(B42-1)</f>
        <v>70.755587451302</v>
      </c>
      <c r="D42" s="7">
        <f aca="true" t="shared" si="5" ref="D42:D48">($B$30^2+((C42-$B$31)*22/75*0.25)^2)^0.5</f>
        <v>0.2345652681920837</v>
      </c>
      <c r="E42" s="8">
        <f>D42*2.35</f>
        <v>0.5512283802513968</v>
      </c>
      <c r="F42" s="7">
        <f>MIN(1,$B$32/(12^0.5*D42))</f>
        <v>0.2461362987110428</v>
      </c>
      <c r="G42" s="8">
        <f>2.35*(D42^2+$B$32^2/12)^0.5</f>
        <v>0.5676804211243434</v>
      </c>
      <c r="I42">
        <v>140</v>
      </c>
      <c r="J42" s="6">
        <v>0.52</v>
      </c>
    </row>
    <row r="43" spans="1:10" ht="12.75">
      <c r="A43" s="1">
        <v>3500</v>
      </c>
      <c r="B43" s="1">
        <v>1.4769</v>
      </c>
      <c r="C43" s="1">
        <f aca="true" t="shared" si="6" ref="C43:C48">75*($B$29-1)/(B43-1)</f>
        <v>72.35793667435519</v>
      </c>
      <c r="D43" s="7">
        <f t="shared" si="5"/>
        <v>0.12098403482115586</v>
      </c>
      <c r="E43" s="8">
        <f aca="true" t="shared" si="7" ref="E43:E48">D43*2.35</f>
        <v>0.28431248182971625</v>
      </c>
      <c r="F43" s="7">
        <f>MIN(1,$B$32/(12^0.5*D43))</f>
        <v>0.47721194787650406</v>
      </c>
      <c r="G43" s="8">
        <f aca="true" t="shared" si="8" ref="G43:G48">2.35*(D43^2+$B$32^2/12)^0.5</f>
        <v>0.31502685704159594</v>
      </c>
      <c r="I43">
        <v>160</v>
      </c>
      <c r="J43" s="6">
        <v>0.47</v>
      </c>
    </row>
    <row r="44" spans="1:10" ht="12.75">
      <c r="A44" s="1">
        <v>4000</v>
      </c>
      <c r="B44" s="1">
        <v>1.4702</v>
      </c>
      <c r="C44" s="1">
        <f t="shared" si="6"/>
        <v>73.38898341131433</v>
      </c>
      <c r="D44" s="7">
        <f t="shared" si="5"/>
        <v>0.057038073998707445</v>
      </c>
      <c r="E44" s="8">
        <f t="shared" si="7"/>
        <v>0.1340394738969625</v>
      </c>
      <c r="F44" s="7">
        <f>MIN(1,$B$32/(12^0.5*D44))</f>
        <v>1</v>
      </c>
      <c r="G44" s="8">
        <f t="shared" si="8"/>
        <v>0.19072208549590638</v>
      </c>
      <c r="I44">
        <v>180</v>
      </c>
      <c r="J44" s="6">
        <v>0.42</v>
      </c>
    </row>
    <row r="45" spans="1:10" ht="12.75">
      <c r="A45" s="1">
        <v>4500</v>
      </c>
      <c r="B45" s="1">
        <v>1.4656</v>
      </c>
      <c r="C45" s="1">
        <f t="shared" si="6"/>
        <v>74.11404639175257</v>
      </c>
      <c r="D45" s="7">
        <f t="shared" si="5"/>
        <v>0.04577540280616371</v>
      </c>
      <c r="E45" s="8">
        <f t="shared" si="7"/>
        <v>0.10757219659448472</v>
      </c>
      <c r="F45" s="7">
        <f>MIN(1,$B$32/(12^0.5*D45))</f>
        <v>1</v>
      </c>
      <c r="G45" s="8">
        <f t="shared" si="8"/>
        <v>0.1731476561016516</v>
      </c>
      <c r="I45">
        <v>200</v>
      </c>
      <c r="J45" s="6">
        <v>0.38</v>
      </c>
    </row>
    <row r="46" spans="1:10" ht="12.75">
      <c r="A46" s="1">
        <v>5000</v>
      </c>
      <c r="B46" s="1">
        <v>1.4623</v>
      </c>
      <c r="C46" s="1">
        <f t="shared" si="6"/>
        <v>74.64308890330953</v>
      </c>
      <c r="D46" s="7">
        <f t="shared" si="5"/>
        <v>0.06941546907484988</v>
      </c>
      <c r="E46" s="8">
        <f t="shared" si="7"/>
        <v>0.16312635232589723</v>
      </c>
      <c r="F46" s="7">
        <f>MIN(1,$B$32/(12^0.5*D46))</f>
        <v>0.8317314236788861</v>
      </c>
      <c r="G46" s="8">
        <f t="shared" si="8"/>
        <v>0.21217572942371635</v>
      </c>
      <c r="I46">
        <v>240</v>
      </c>
      <c r="J46" s="6">
        <v>0.32</v>
      </c>
    </row>
    <row r="47" spans="1:10" ht="12.75">
      <c r="A47" s="1">
        <v>5500</v>
      </c>
      <c r="B47" s="1">
        <v>1.4599</v>
      </c>
      <c r="C47" s="1">
        <f t="shared" si="6"/>
        <v>75.03261578604044</v>
      </c>
      <c r="D47" s="7">
        <f t="shared" si="5"/>
        <v>0.09352920893100634</v>
      </c>
      <c r="E47" s="8">
        <f t="shared" si="7"/>
        <v>0.2197936409878649</v>
      </c>
      <c r="F47" s="7">
        <f>MIN(1,$B$32/(12^0.5*D47))</f>
        <v>0.6172940793453301</v>
      </c>
      <c r="G47" s="8">
        <f t="shared" si="8"/>
        <v>0.2582974602121279</v>
      </c>
      <c r="I47">
        <v>260</v>
      </c>
      <c r="J47" s="6">
        <v>0.3</v>
      </c>
    </row>
    <row r="48" spans="1:7" ht="12.75">
      <c r="A48" s="1">
        <v>6000</v>
      </c>
      <c r="B48" s="1">
        <v>1.4581</v>
      </c>
      <c r="C48" s="1">
        <f t="shared" si="6"/>
        <v>75.32743942370661</v>
      </c>
      <c r="D48" s="7">
        <f t="shared" si="5"/>
        <v>0.11316655970747468</v>
      </c>
      <c r="E48" s="8">
        <f t="shared" si="7"/>
        <v>0.2659414153125655</v>
      </c>
      <c r="F48" s="7">
        <f>MIN(1,$B$32/(12^0.5*D48))</f>
        <v>0.5101774505490174</v>
      </c>
      <c r="G48" s="8">
        <f t="shared" si="8"/>
        <v>0.298551787319694</v>
      </c>
    </row>
    <row r="49" ht="12.75">
      <c r="A49" s="1"/>
    </row>
  </sheetData>
  <mergeCells count="1">
    <mergeCell ref="A1:O1"/>
  </mergeCells>
  <printOptions/>
  <pageMargins left="0.75" right="0.75" top="1" bottom="1" header="0.5" footer="0.5"/>
  <pageSetup fitToHeight="1" fitToWidth="1" horizontalDpi="300" verticalDpi="300" orientation="landscape" scale="81" r:id="rId1"/>
  <headerFooter alignWithMargins="0">
    <oddFooter>&amp;L&amp;8Gordon Hurford&amp;C&amp;8&amp;F&amp;R&amp;8&amp;D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GHurford</dc:creator>
  <cp:keywords/>
  <dc:description/>
  <cp:lastModifiedBy>Gordon Hurford (SSL/UCB)</cp:lastModifiedBy>
  <cp:lastPrinted>1999-12-20T17:34:31Z</cp:lastPrinted>
  <dcterms:created xsi:type="dcterms:W3CDTF">1999-12-10T18:07:11Z</dcterms:created>
  <dcterms:modified xsi:type="dcterms:W3CDTF">2002-09-06T18:58:15Z</dcterms:modified>
  <cp:category/>
  <cp:version/>
  <cp:contentType/>
  <cp:contentStatus/>
</cp:coreProperties>
</file>